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omments5.xml" ContentType="application/vnd.openxmlformats-officedocument.spreadsheetml.comments+xml"/>
  <Override PartName="/xl/drawings/drawing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uant\Desktop\Data file\"/>
    </mc:Choice>
  </mc:AlternateContent>
  <bookViews>
    <workbookView xWindow="0" yWindow="504" windowWidth="38400" windowHeight="19440"/>
  </bookViews>
  <sheets>
    <sheet name="0.RAW DATA" sheetId="15" r:id="rId1"/>
    <sheet name="1.Daily waste generation" sheetId="18" r:id="rId2"/>
    <sheet name="2. Thanh phan hon hop CTR" sheetId="25" r:id="rId3"/>
    <sheet name="3. Khối lượng riêng" sheetId="29" r:id="rId4"/>
    <sheet name="4.1 MFA_source" sheetId="24" r:id="rId5"/>
    <sheet name="4.2 MFA_type" sheetId="27" r:id="rId6"/>
    <sheet name="4 MFA" sheetId="28" r:id="rId7"/>
    <sheet name="5.W type distribution @ sources" sheetId="21" r:id="rId8"/>
    <sheet name="6. Plastic distribution" sheetId="20" r:id="rId9"/>
    <sheet name="7. Thanh phan CTR tai diem nong" sheetId="30" r:id="rId10"/>
    <sheet name="8. CTR tai Dinh Cau" sheetId="31" r:id="rId11"/>
    <sheet name="9 WFD" sheetId="32" r:id="rId12"/>
  </sheets>
  <externalReferences>
    <externalReference r:id="rId13"/>
    <externalReference r:id="rId14"/>
    <externalReference r:id="rId15"/>
  </externalReferences>
  <definedNames>
    <definedName name="_xlnm._FilterDatabase" localSheetId="1" hidden="1">'1.Daily waste generation'!$A$1:$A$162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32" l="1"/>
  <c r="D29" i="32"/>
  <c r="D27" i="32"/>
  <c r="J26" i="32"/>
  <c r="K23" i="32"/>
  <c r="D12" i="32"/>
  <c r="D8" i="32"/>
  <c r="D6" i="32"/>
  <c r="G14" i="32" s="1"/>
  <c r="G4" i="32"/>
  <c r="D4" i="32"/>
  <c r="J23" i="32" l="1"/>
  <c r="G16" i="32"/>
  <c r="I30" i="32"/>
  <c r="H14" i="32"/>
  <c r="J14" i="32" s="1"/>
  <c r="G20" i="32"/>
  <c r="H23" i="32" l="1"/>
  <c r="I23" i="32" s="1"/>
  <c r="G23" i="32"/>
  <c r="H30" i="32"/>
  <c r="H26" i="32"/>
  <c r="I26" i="32" s="1"/>
  <c r="G30" i="32"/>
  <c r="G26" i="32"/>
  <c r="J30" i="32"/>
  <c r="J16" i="32" s="1"/>
  <c r="D13" i="32" s="1"/>
  <c r="J33" i="32"/>
  <c r="I20" i="32" l="1"/>
  <c r="K33" i="32" l="1"/>
  <c r="K30" i="32"/>
  <c r="K26" i="32"/>
  <c r="K20" i="32"/>
  <c r="G58" i="31" l="1"/>
  <c r="F58" i="31"/>
  <c r="Y14" i="31"/>
  <c r="X14" i="31"/>
  <c r="W14" i="31"/>
  <c r="V14" i="31"/>
  <c r="U14" i="31"/>
  <c r="T14" i="31"/>
  <c r="S14" i="31"/>
  <c r="R14" i="31"/>
  <c r="Q14" i="31"/>
  <c r="P14" i="31"/>
  <c r="O14" i="31"/>
  <c r="N14" i="31"/>
  <c r="M14" i="31"/>
  <c r="L14" i="31"/>
  <c r="K14" i="31"/>
  <c r="J14" i="31"/>
  <c r="I14" i="31"/>
  <c r="H14" i="31"/>
  <c r="G14" i="31"/>
  <c r="F14" i="31"/>
  <c r="F28" i="30"/>
  <c r="H25" i="30" s="1"/>
  <c r="C28" i="30"/>
  <c r="E25" i="30" s="1"/>
  <c r="F27" i="30"/>
  <c r="C27" i="30"/>
  <c r="H26" i="30"/>
  <c r="H24" i="30"/>
  <c r="E24" i="30"/>
  <c r="H23" i="30"/>
  <c r="H22" i="30"/>
  <c r="E22" i="30"/>
  <c r="H28" i="30" l="1"/>
  <c r="E26" i="30"/>
  <c r="E23" i="30"/>
  <c r="E28" i="30" s="1"/>
  <c r="F30" i="24" l="1"/>
  <c r="F29" i="24"/>
  <c r="J32" i="24" s="1"/>
  <c r="E34" i="28"/>
  <c r="L28" i="28"/>
  <c r="L31" i="28" s="1"/>
  <c r="G1" i="28" l="1"/>
  <c r="G3" i="28" s="1"/>
  <c r="P43" i="27"/>
  <c r="H44" i="27"/>
  <c r="H45" i="27"/>
  <c r="H47" i="27"/>
  <c r="H48" i="27"/>
  <c r="H49" i="27"/>
  <c r="H43" i="27"/>
  <c r="G33" i="27"/>
  <c r="G34" i="27"/>
  <c r="G36" i="27"/>
  <c r="G47" i="27" s="1"/>
  <c r="G37" i="27"/>
  <c r="N48" i="27" s="1"/>
  <c r="G38" i="27"/>
  <c r="K49" i="27" s="1"/>
  <c r="G44" i="27"/>
  <c r="G45" i="27"/>
  <c r="O47" i="27"/>
  <c r="M48" i="27"/>
  <c r="G32" i="27"/>
  <c r="K43" i="27" s="1"/>
  <c r="R44" i="25"/>
  <c r="R43" i="25"/>
  <c r="Q44" i="25"/>
  <c r="Q43" i="25"/>
  <c r="I44" i="25"/>
  <c r="H44" i="25"/>
  <c r="K44" i="25" s="1"/>
  <c r="I43" i="25"/>
  <c r="H43" i="25"/>
  <c r="I42" i="25"/>
  <c r="H42" i="25"/>
  <c r="K42" i="25" s="1"/>
  <c r="W68" i="21"/>
  <c r="W67" i="21"/>
  <c r="W66" i="21"/>
  <c r="W70" i="21"/>
  <c r="W69" i="21"/>
  <c r="K68" i="21"/>
  <c r="N68" i="21"/>
  <c r="G68" i="21"/>
  <c r="I68" i="21"/>
  <c r="J68" i="21"/>
  <c r="L68" i="21"/>
  <c r="M68" i="21"/>
  <c r="O68" i="21"/>
  <c r="N60" i="21"/>
  <c r="O62" i="21"/>
  <c r="N64" i="21"/>
  <c r="O58" i="21"/>
  <c r="I60" i="21"/>
  <c r="I62" i="21"/>
  <c r="I64" i="21"/>
  <c r="I58" i="21"/>
  <c r="M60" i="21"/>
  <c r="N62" i="21"/>
  <c r="M64" i="21"/>
  <c r="N58" i="21"/>
  <c r="O60" i="21"/>
  <c r="L62" i="21"/>
  <c r="O64" i="21"/>
  <c r="M58" i="21"/>
  <c r="J60" i="21"/>
  <c r="J62" i="21"/>
  <c r="K64" i="21"/>
  <c r="K58" i="21"/>
  <c r="K60" i="21"/>
  <c r="M62" i="21"/>
  <c r="L64" i="21"/>
  <c r="L58" i="21"/>
  <c r="K35" i="27"/>
  <c r="J35" i="27"/>
  <c r="G35" i="27" s="1"/>
  <c r="G5" i="25"/>
  <c r="G6" i="25" a="1"/>
  <c r="G6" i="25" s="1"/>
  <c r="G7" i="25"/>
  <c r="G8" i="25" a="1"/>
  <c r="G8" i="25" s="1"/>
  <c r="G9" i="25"/>
  <c r="G10" i="25" a="1"/>
  <c r="G10" i="25" s="1"/>
  <c r="G11" i="25"/>
  <c r="G12" i="25" a="1"/>
  <c r="G12" i="25" s="1"/>
  <c r="G35" i="25" s="1"/>
  <c r="G13" i="25"/>
  <c r="G14" i="25" a="1"/>
  <c r="G14" i="25" s="1"/>
  <c r="G15" i="25"/>
  <c r="G16" i="25" a="1"/>
  <c r="G16" i="25" s="1"/>
  <c r="G17" i="25"/>
  <c r="G18" i="25" a="1"/>
  <c r="G18" i="25" s="1"/>
  <c r="G19" i="25"/>
  <c r="G20" i="25" a="1"/>
  <c r="G20" i="25" s="1"/>
  <c r="G21" i="25"/>
  <c r="G22" i="25" a="1"/>
  <c r="G22" i="25"/>
  <c r="G38" i="25" s="1"/>
  <c r="G23" i="25"/>
  <c r="G24" i="25" a="1"/>
  <c r="G24" i="25"/>
  <c r="G25" i="25"/>
  <c r="G26" i="25" a="1"/>
  <c r="G26" i="25" s="1"/>
  <c r="G4" i="25" a="1"/>
  <c r="G4" i="25" s="1"/>
  <c r="G3" i="25"/>
  <c r="Z51" i="27"/>
  <c r="AA51" i="27"/>
  <c r="AB51" i="27"/>
  <c r="AC51" i="27"/>
  <c r="F51" i="27"/>
  <c r="R51" i="27"/>
  <c r="S51" i="27"/>
  <c r="T51" i="27"/>
  <c r="U51" i="27"/>
  <c r="V51" i="27"/>
  <c r="W51" i="27"/>
  <c r="X51" i="27"/>
  <c r="Y51" i="27"/>
  <c r="P44" i="27"/>
  <c r="Q44" i="27"/>
  <c r="R44" i="27"/>
  <c r="S44" i="27"/>
  <c r="T44" i="27"/>
  <c r="U44" i="27"/>
  <c r="V44" i="27"/>
  <c r="W44" i="27"/>
  <c r="X44" i="27"/>
  <c r="Y44" i="27"/>
  <c r="Z44" i="27"/>
  <c r="AA44" i="27"/>
  <c r="AB44" i="27"/>
  <c r="AC44" i="27"/>
  <c r="P45" i="27"/>
  <c r="Q45" i="27"/>
  <c r="R45" i="27"/>
  <c r="S45" i="27"/>
  <c r="T45" i="27"/>
  <c r="U45" i="27"/>
  <c r="V45" i="27"/>
  <c r="W45" i="27"/>
  <c r="X45" i="27"/>
  <c r="Y45" i="27"/>
  <c r="Z45" i="27"/>
  <c r="AA45" i="27"/>
  <c r="AB45" i="27"/>
  <c r="AC45" i="27"/>
  <c r="P46" i="27"/>
  <c r="P51" i="27" s="1"/>
  <c r="Q46" i="27"/>
  <c r="Q51" i="27" s="1"/>
  <c r="R46" i="27"/>
  <c r="S46" i="27"/>
  <c r="T46" i="27"/>
  <c r="U46" i="27"/>
  <c r="V46" i="27"/>
  <c r="W46" i="27"/>
  <c r="X46" i="27"/>
  <c r="Y46" i="27"/>
  <c r="Z46" i="27"/>
  <c r="AA46" i="27"/>
  <c r="AB46" i="27"/>
  <c r="AC46" i="27"/>
  <c r="P47" i="27"/>
  <c r="Q47" i="27"/>
  <c r="R47" i="27"/>
  <c r="S47" i="27"/>
  <c r="T47" i="27"/>
  <c r="U47" i="27"/>
  <c r="V47" i="27"/>
  <c r="W47" i="27"/>
  <c r="X47" i="27"/>
  <c r="Y47" i="27"/>
  <c r="Z47" i="27"/>
  <c r="AA47" i="27"/>
  <c r="AB47" i="27"/>
  <c r="AC47" i="27"/>
  <c r="P48" i="27"/>
  <c r="Q48" i="27"/>
  <c r="R48" i="27"/>
  <c r="S48" i="27"/>
  <c r="T48" i="27"/>
  <c r="U48" i="27"/>
  <c r="V48" i="27"/>
  <c r="W48" i="27"/>
  <c r="X48" i="27"/>
  <c r="Y48" i="27"/>
  <c r="Z48" i="27"/>
  <c r="AA48" i="27"/>
  <c r="AB48" i="27"/>
  <c r="AC48" i="27"/>
  <c r="P49" i="27"/>
  <c r="Q49" i="27"/>
  <c r="R49" i="27"/>
  <c r="S49" i="27"/>
  <c r="T49" i="27"/>
  <c r="U49" i="27"/>
  <c r="V49" i="27"/>
  <c r="W49" i="27"/>
  <c r="X49" i="27"/>
  <c r="Y49" i="27"/>
  <c r="Z49" i="27"/>
  <c r="AA49" i="27"/>
  <c r="AB49" i="27"/>
  <c r="AC49" i="27"/>
  <c r="AC43" i="27"/>
  <c r="AB43" i="27"/>
  <c r="AA43" i="27"/>
  <c r="Z43" i="27"/>
  <c r="Y43" i="27"/>
  <c r="X43" i="27"/>
  <c r="W43" i="27"/>
  <c r="V43" i="27"/>
  <c r="U43" i="27"/>
  <c r="T43" i="27"/>
  <c r="S43" i="27"/>
  <c r="R43" i="27"/>
  <c r="Q43" i="27"/>
  <c r="K44" i="27"/>
  <c r="L44" i="27"/>
  <c r="M44" i="27"/>
  <c r="N44" i="27"/>
  <c r="O44" i="27"/>
  <c r="K45" i="27"/>
  <c r="L45" i="27"/>
  <c r="M45" i="27"/>
  <c r="N45" i="27"/>
  <c r="O45" i="27"/>
  <c r="K47" i="27"/>
  <c r="M47" i="27"/>
  <c r="J44" i="27"/>
  <c r="J45" i="27"/>
  <c r="J47" i="27"/>
  <c r="F44" i="27"/>
  <c r="F45" i="27"/>
  <c r="F46" i="27"/>
  <c r="F47" i="27"/>
  <c r="F48" i="27"/>
  <c r="F49" i="27"/>
  <c r="F43" i="27"/>
  <c r="O33" i="27"/>
  <c r="O34" i="27"/>
  <c r="O35" i="27"/>
  <c r="O36" i="27"/>
  <c r="O37" i="27"/>
  <c r="O38" i="27"/>
  <c r="O32" i="27"/>
  <c r="N33" i="27"/>
  <c r="N34" i="27"/>
  <c r="N35" i="27"/>
  <c r="N36" i="27"/>
  <c r="N37" i="27"/>
  <c r="N38" i="27"/>
  <c r="N32" i="27"/>
  <c r="M33" i="27"/>
  <c r="M34" i="27"/>
  <c r="M35" i="27"/>
  <c r="M36" i="27"/>
  <c r="M37" i="27"/>
  <c r="M38" i="27"/>
  <c r="M32" i="27"/>
  <c r="L33" i="27"/>
  <c r="L34" i="27"/>
  <c r="L35" i="27"/>
  <c r="L36" i="27"/>
  <c r="L37" i="27"/>
  <c r="L38" i="27"/>
  <c r="L32" i="27"/>
  <c r="K33" i="27"/>
  <c r="K34" i="27"/>
  <c r="K36" i="27"/>
  <c r="K37" i="27"/>
  <c r="K38" i="27"/>
  <c r="K32" i="27"/>
  <c r="G56" i="15"/>
  <c r="Z62" i="15"/>
  <c r="AA62" i="15"/>
  <c r="AB62" i="15"/>
  <c r="AC62" i="15"/>
  <c r="AD62" i="15"/>
  <c r="AE62" i="15"/>
  <c r="Z63" i="15"/>
  <c r="AA63" i="15"/>
  <c r="AB63" i="15"/>
  <c r="AC63" i="15"/>
  <c r="AD63" i="15"/>
  <c r="AE63" i="15"/>
  <c r="Z64" i="15"/>
  <c r="AE64" i="15" s="1"/>
  <c r="AA64" i="15"/>
  <c r="AB64" i="15"/>
  <c r="AC64" i="15"/>
  <c r="AD64" i="15"/>
  <c r="Z65" i="15"/>
  <c r="AA65" i="15"/>
  <c r="AB65" i="15"/>
  <c r="AE65" i="15" s="1"/>
  <c r="AC65" i="15"/>
  <c r="AD65" i="15"/>
  <c r="Z66" i="15"/>
  <c r="AA66" i="15"/>
  <c r="AB66" i="15"/>
  <c r="AC66" i="15"/>
  <c r="AD66" i="15"/>
  <c r="AE66" i="15"/>
  <c r="Z67" i="15"/>
  <c r="AA67" i="15"/>
  <c r="AE67" i="15" s="1"/>
  <c r="AB67" i="15"/>
  <c r="AC67" i="15"/>
  <c r="AD67" i="15"/>
  <c r="Z68" i="15"/>
  <c r="AE68" i="15" s="1"/>
  <c r="AA68" i="15"/>
  <c r="AB68" i="15"/>
  <c r="AC68" i="15"/>
  <c r="AD68" i="15"/>
  <c r="Z69" i="15"/>
  <c r="AA69" i="15"/>
  <c r="AB69" i="15"/>
  <c r="AE69" i="15" s="1"/>
  <c r="AC69" i="15"/>
  <c r="AD69" i="15"/>
  <c r="Z70" i="15"/>
  <c r="AA70" i="15"/>
  <c r="AB70" i="15"/>
  <c r="AC70" i="15"/>
  <c r="AD70" i="15"/>
  <c r="AE70" i="15"/>
  <c r="Z71" i="15"/>
  <c r="AA71" i="15"/>
  <c r="AE71" i="15" s="1"/>
  <c r="AB71" i="15"/>
  <c r="AC71" i="15"/>
  <c r="AD71" i="15"/>
  <c r="Z72" i="15"/>
  <c r="AE72" i="15" s="1"/>
  <c r="AA72" i="15"/>
  <c r="AB72" i="15"/>
  <c r="AC72" i="15"/>
  <c r="AD72" i="15"/>
  <c r="Z73" i="15"/>
  <c r="AA73" i="15"/>
  <c r="AB73" i="15"/>
  <c r="AE73" i="15" s="1"/>
  <c r="AC73" i="15"/>
  <c r="AD73" i="15"/>
  <c r="Z74" i="15"/>
  <c r="AA74" i="15"/>
  <c r="AB74" i="15"/>
  <c r="AC74" i="15"/>
  <c r="AD74" i="15"/>
  <c r="AE74" i="15"/>
  <c r="Z75" i="15"/>
  <c r="AA75" i="15"/>
  <c r="AE75" i="15" s="1"/>
  <c r="AB75" i="15"/>
  <c r="AC75" i="15"/>
  <c r="AD75" i="15"/>
  <c r="Z76" i="15"/>
  <c r="AE76" i="15" s="1"/>
  <c r="AA76" i="15"/>
  <c r="AB76" i="15"/>
  <c r="AC76" i="15"/>
  <c r="AD76" i="15"/>
  <c r="Z77" i="15"/>
  <c r="AA77" i="15"/>
  <c r="AB77" i="15"/>
  <c r="AE77" i="15" s="1"/>
  <c r="AC77" i="15"/>
  <c r="AD77" i="15"/>
  <c r="Z78" i="15"/>
  <c r="AA78" i="15"/>
  <c r="AB78" i="15"/>
  <c r="AC78" i="15"/>
  <c r="AD78" i="15"/>
  <c r="AE78" i="15"/>
  <c r="Z79" i="15"/>
  <c r="AA79" i="15"/>
  <c r="AE79" i="15" s="1"/>
  <c r="AB79" i="15"/>
  <c r="AC79" i="15"/>
  <c r="AD79" i="15"/>
  <c r="Z80" i="15"/>
  <c r="AE80" i="15" s="1"/>
  <c r="AA80" i="15"/>
  <c r="AB80" i="15"/>
  <c r="AC80" i="15"/>
  <c r="AD80" i="15"/>
  <c r="Z81" i="15"/>
  <c r="AA81" i="15"/>
  <c r="AB81" i="15"/>
  <c r="AE81" i="15" s="1"/>
  <c r="AC81" i="15"/>
  <c r="AD81" i="15"/>
  <c r="Z82" i="15"/>
  <c r="AA82" i="15"/>
  <c r="AB82" i="15"/>
  <c r="AC82" i="15"/>
  <c r="AD82" i="15"/>
  <c r="AE82" i="15"/>
  <c r="Z83" i="15"/>
  <c r="AA83" i="15"/>
  <c r="AE83" i="15" s="1"/>
  <c r="AB83" i="15"/>
  <c r="AC83" i="15"/>
  <c r="AD83" i="15"/>
  <c r="Z84" i="15"/>
  <c r="AE84" i="15" s="1"/>
  <c r="AA84" i="15"/>
  <c r="AB84" i="15"/>
  <c r="AC84" i="15"/>
  <c r="AD84" i="15"/>
  <c r="Z85" i="15"/>
  <c r="AA85" i="15"/>
  <c r="AB85" i="15"/>
  <c r="AE85" i="15" s="1"/>
  <c r="AC85" i="15"/>
  <c r="AD85" i="15"/>
  <c r="Z86" i="15"/>
  <c r="AA86" i="15"/>
  <c r="AB86" i="15"/>
  <c r="AC86" i="15"/>
  <c r="AD86" i="15"/>
  <c r="AE86" i="15"/>
  <c r="Z87" i="15"/>
  <c r="AA87" i="15"/>
  <c r="AB87" i="15"/>
  <c r="AC87" i="15"/>
  <c r="AD87" i="15"/>
  <c r="AE87" i="15"/>
  <c r="Z88" i="15"/>
  <c r="AE88" i="15" s="1"/>
  <c r="AA88" i="15"/>
  <c r="AB88" i="15"/>
  <c r="AC88" i="15"/>
  <c r="AD88" i="15"/>
  <c r="Z89" i="15"/>
  <c r="AA89" i="15"/>
  <c r="AB89" i="15"/>
  <c r="AE89" i="15" s="1"/>
  <c r="AC89" i="15"/>
  <c r="AD89" i="15"/>
  <c r="Z90" i="15"/>
  <c r="AA90" i="15"/>
  <c r="AB90" i="15"/>
  <c r="AC90" i="15"/>
  <c r="AD90" i="15"/>
  <c r="AE90" i="15"/>
  <c r="Z91" i="15"/>
  <c r="AA91" i="15"/>
  <c r="AB91" i="15"/>
  <c r="AC91" i="15"/>
  <c r="AD91" i="15"/>
  <c r="AE91" i="15"/>
  <c r="Z92" i="15"/>
  <c r="AE92" i="15" s="1"/>
  <c r="AA92" i="15"/>
  <c r="AB92" i="15"/>
  <c r="AC92" i="15"/>
  <c r="AD92" i="15"/>
  <c r="Z93" i="15"/>
  <c r="AA93" i="15"/>
  <c r="AE93" i="15" s="1"/>
  <c r="AB93" i="15"/>
  <c r="AC93" i="15"/>
  <c r="AD93" i="15"/>
  <c r="Z94" i="15"/>
  <c r="AA94" i="15"/>
  <c r="AB94" i="15"/>
  <c r="AC94" i="15"/>
  <c r="AD94" i="15"/>
  <c r="AE94" i="15"/>
  <c r="Z95" i="15"/>
  <c r="AA95" i="15"/>
  <c r="AB95" i="15"/>
  <c r="AC95" i="15"/>
  <c r="AD95" i="15"/>
  <c r="AE95" i="15"/>
  <c r="Z96" i="15"/>
  <c r="AE96" i="15" s="1"/>
  <c r="AA96" i="15"/>
  <c r="AB96" i="15"/>
  <c r="AC96" i="15"/>
  <c r="AD96" i="15"/>
  <c r="Z97" i="15"/>
  <c r="AA97" i="15"/>
  <c r="AB97" i="15"/>
  <c r="AE97" i="15" s="1"/>
  <c r="AC97" i="15"/>
  <c r="AD97" i="15"/>
  <c r="Z98" i="15"/>
  <c r="AA98" i="15"/>
  <c r="AB98" i="15"/>
  <c r="AC98" i="15"/>
  <c r="AD98" i="15"/>
  <c r="AE98" i="15"/>
  <c r="Z99" i="15"/>
  <c r="AA99" i="15"/>
  <c r="AB99" i="15"/>
  <c r="AC99" i="15"/>
  <c r="AD99" i="15"/>
  <c r="AE99" i="15"/>
  <c r="AE61" i="15"/>
  <c r="AD61" i="15"/>
  <c r="AC61" i="15"/>
  <c r="AB61" i="15"/>
  <c r="AA61" i="15"/>
  <c r="Z61" i="15"/>
  <c r="G30" i="24"/>
  <c r="G29" i="24"/>
  <c r="O43" i="25"/>
  <c r="M43" i="25"/>
  <c r="H38" i="25"/>
  <c r="I38" i="25"/>
  <c r="J38" i="25"/>
  <c r="K38" i="25"/>
  <c r="L38" i="25"/>
  <c r="M38" i="25"/>
  <c r="N38" i="25"/>
  <c r="O38" i="25"/>
  <c r="P38" i="25"/>
  <c r="Q38" i="25"/>
  <c r="R38" i="25"/>
  <c r="S38" i="25"/>
  <c r="T38" i="25"/>
  <c r="U38" i="25"/>
  <c r="V38" i="25"/>
  <c r="W38" i="25"/>
  <c r="X38" i="25"/>
  <c r="Y38" i="25"/>
  <c r="H37" i="25"/>
  <c r="I37" i="25"/>
  <c r="J37" i="25"/>
  <c r="K37" i="25"/>
  <c r="L37" i="25"/>
  <c r="M37" i="25"/>
  <c r="N37" i="25"/>
  <c r="O37" i="25"/>
  <c r="P37" i="25"/>
  <c r="Q37" i="25"/>
  <c r="R37" i="25"/>
  <c r="S37" i="25"/>
  <c r="T37" i="25"/>
  <c r="U37" i="25"/>
  <c r="V37" i="25"/>
  <c r="W37" i="25"/>
  <c r="X37" i="25"/>
  <c r="Y37" i="25"/>
  <c r="H36" i="25"/>
  <c r="I36" i="25"/>
  <c r="J36" i="25"/>
  <c r="K36" i="25"/>
  <c r="L36" i="25"/>
  <c r="M36" i="25"/>
  <c r="N36" i="25"/>
  <c r="O36" i="25"/>
  <c r="P36" i="25"/>
  <c r="Q36" i="25"/>
  <c r="R36" i="25"/>
  <c r="S36" i="25"/>
  <c r="T36" i="25"/>
  <c r="U36" i="25"/>
  <c r="V36" i="25"/>
  <c r="W36" i="25"/>
  <c r="X36" i="25"/>
  <c r="Y36" i="25"/>
  <c r="H35" i="25"/>
  <c r="I35" i="25"/>
  <c r="J35" i="25"/>
  <c r="K35" i="25"/>
  <c r="L35" i="25"/>
  <c r="M35" i="25"/>
  <c r="N35" i="25"/>
  <c r="O35" i="25"/>
  <c r="P35" i="25"/>
  <c r="Q35" i="25"/>
  <c r="R35" i="25"/>
  <c r="S35" i="25"/>
  <c r="T35" i="25"/>
  <c r="U35" i="25"/>
  <c r="V35" i="25"/>
  <c r="W35" i="25"/>
  <c r="X35" i="25"/>
  <c r="Y35" i="25"/>
  <c r="H34" i="25"/>
  <c r="I34" i="25"/>
  <c r="J34" i="25"/>
  <c r="K34" i="25"/>
  <c r="L34" i="25"/>
  <c r="M34" i="25"/>
  <c r="N34" i="25"/>
  <c r="O34" i="25"/>
  <c r="P34" i="25"/>
  <c r="Q34" i="25"/>
  <c r="R34" i="25"/>
  <c r="S34" i="25"/>
  <c r="T34" i="25"/>
  <c r="U34" i="25"/>
  <c r="V34" i="25"/>
  <c r="W34" i="25"/>
  <c r="X34" i="25"/>
  <c r="Y34" i="25"/>
  <c r="F38" i="25"/>
  <c r="F37" i="25"/>
  <c r="F36" i="25"/>
  <c r="F35" i="25"/>
  <c r="F34" i="25"/>
  <c r="H33" i="25"/>
  <c r="I33" i="25"/>
  <c r="J33" i="25"/>
  <c r="K33" i="25"/>
  <c r="L33" i="25"/>
  <c r="M33" i="25"/>
  <c r="N33" i="25"/>
  <c r="O33" i="25"/>
  <c r="P33" i="25"/>
  <c r="Q33" i="25"/>
  <c r="R33" i="25"/>
  <c r="S33" i="25"/>
  <c r="T33" i="25"/>
  <c r="U33" i="25"/>
  <c r="V33" i="25"/>
  <c r="W33" i="25"/>
  <c r="X33" i="25"/>
  <c r="Y33" i="25"/>
  <c r="F33" i="25"/>
  <c r="H32" i="25"/>
  <c r="I32" i="25"/>
  <c r="J32" i="25"/>
  <c r="K32" i="25"/>
  <c r="L32" i="25"/>
  <c r="M32" i="25"/>
  <c r="N32" i="25"/>
  <c r="O32" i="25"/>
  <c r="P32" i="25"/>
  <c r="Q32" i="25"/>
  <c r="R32" i="25"/>
  <c r="S32" i="25"/>
  <c r="T32" i="25"/>
  <c r="U32" i="25"/>
  <c r="V32" i="25"/>
  <c r="W32" i="25"/>
  <c r="X32" i="25"/>
  <c r="Y32" i="25"/>
  <c r="F32" i="25"/>
  <c r="H94" i="15"/>
  <c r="H29" i="24"/>
  <c r="I29" i="24"/>
  <c r="J29" i="24"/>
  <c r="K29" i="24"/>
  <c r="L29" i="24"/>
  <c r="M29" i="24"/>
  <c r="N29" i="24"/>
  <c r="O29" i="24"/>
  <c r="P29" i="24"/>
  <c r="Q29" i="24"/>
  <c r="R29" i="24"/>
  <c r="S29" i="24"/>
  <c r="T29" i="24"/>
  <c r="U29" i="24"/>
  <c r="V29" i="24"/>
  <c r="W29" i="24"/>
  <c r="X29" i="24"/>
  <c r="Y29" i="24"/>
  <c r="H30" i="24"/>
  <c r="I30" i="24"/>
  <c r="J30" i="24"/>
  <c r="K30" i="24"/>
  <c r="L30" i="24"/>
  <c r="M30" i="24"/>
  <c r="N30" i="24"/>
  <c r="O30" i="24"/>
  <c r="P30" i="24"/>
  <c r="Q30" i="24"/>
  <c r="R30" i="24"/>
  <c r="S30" i="24"/>
  <c r="T30" i="24"/>
  <c r="U30" i="24"/>
  <c r="V30" i="24"/>
  <c r="W30" i="24"/>
  <c r="X30" i="24"/>
  <c r="Y30" i="24"/>
  <c r="G46" i="24"/>
  <c r="H46" i="24"/>
  <c r="I46" i="24"/>
  <c r="J46" i="24"/>
  <c r="K46" i="24"/>
  <c r="L46" i="24"/>
  <c r="M46" i="24"/>
  <c r="N46" i="24"/>
  <c r="O46" i="24"/>
  <c r="P46" i="24"/>
  <c r="Q46" i="24"/>
  <c r="R46" i="24"/>
  <c r="S46" i="24"/>
  <c r="T46" i="24"/>
  <c r="U46" i="24"/>
  <c r="V46" i="24"/>
  <c r="W46" i="24"/>
  <c r="X46" i="24"/>
  <c r="Y46" i="24"/>
  <c r="F46" i="24"/>
  <c r="F48" i="24" s="1"/>
  <c r="G38" i="24"/>
  <c r="H38" i="24"/>
  <c r="I38" i="24"/>
  <c r="J38" i="24"/>
  <c r="K38" i="24"/>
  <c r="L38" i="24"/>
  <c r="M38" i="24"/>
  <c r="N38" i="24"/>
  <c r="O38" i="24"/>
  <c r="P38" i="24"/>
  <c r="Q38" i="24"/>
  <c r="R38" i="24"/>
  <c r="S38" i="24"/>
  <c r="T38" i="24"/>
  <c r="U38" i="24"/>
  <c r="V38" i="24"/>
  <c r="W38" i="24"/>
  <c r="X38" i="24"/>
  <c r="Y38" i="24"/>
  <c r="F38" i="24"/>
  <c r="E22" i="21"/>
  <c r="F22" i="21" s="1"/>
  <c r="E23" i="21"/>
  <c r="F23" i="21" s="1"/>
  <c r="E24" i="21"/>
  <c r="F24" i="21" s="1"/>
  <c r="E21" i="21"/>
  <c r="F21" i="21" s="1"/>
  <c r="N7" i="28" l="1"/>
  <c r="G33" i="25"/>
  <c r="G32" i="25"/>
  <c r="G37" i="25"/>
  <c r="G36" i="25"/>
  <c r="J43" i="25"/>
  <c r="G46" i="27"/>
  <c r="H46" i="27"/>
  <c r="H51" i="27" s="1"/>
  <c r="E31" i="28" s="1"/>
  <c r="N20" i="28"/>
  <c r="J48" i="27"/>
  <c r="L47" i="27"/>
  <c r="M49" i="27"/>
  <c r="G49" i="27"/>
  <c r="G48" i="27"/>
  <c r="O48" i="27"/>
  <c r="J49" i="27"/>
  <c r="L49" i="27"/>
  <c r="N47" i="27"/>
  <c r="O49" i="27"/>
  <c r="L48" i="27"/>
  <c r="N49" i="27"/>
  <c r="K48" i="27"/>
  <c r="L43" i="27"/>
  <c r="J43" i="27"/>
  <c r="M43" i="27"/>
  <c r="O43" i="27"/>
  <c r="N43" i="27"/>
  <c r="G43" i="27"/>
  <c r="J44" i="25"/>
  <c r="K43" i="25"/>
  <c r="P43" i="25" s="1"/>
  <c r="G34" i="25"/>
  <c r="F31" i="24"/>
  <c r="F51" i="24"/>
  <c r="B14" i="28" s="1"/>
  <c r="F16" i="21"/>
  <c r="F17" i="21"/>
  <c r="F18" i="21"/>
  <c r="F15" i="21"/>
  <c r="H91" i="18"/>
  <c r="I91" i="18"/>
  <c r="J91" i="18"/>
  <c r="K91" i="18"/>
  <c r="L91" i="18"/>
  <c r="M91" i="18"/>
  <c r="N91" i="18"/>
  <c r="O91" i="18"/>
  <c r="P91" i="18"/>
  <c r="Q91" i="18"/>
  <c r="R91" i="18"/>
  <c r="S91" i="18"/>
  <c r="T91" i="18"/>
  <c r="U91" i="18"/>
  <c r="V91" i="18"/>
  <c r="W91" i="18"/>
  <c r="X91" i="18"/>
  <c r="H92" i="18"/>
  <c r="I92" i="18"/>
  <c r="J92" i="18"/>
  <c r="K92" i="18"/>
  <c r="L92" i="18"/>
  <c r="M92" i="18"/>
  <c r="N92" i="18"/>
  <c r="O92" i="18"/>
  <c r="P92" i="18"/>
  <c r="Q92" i="18"/>
  <c r="R92" i="18"/>
  <c r="S92" i="18"/>
  <c r="T92" i="18"/>
  <c r="U92" i="18"/>
  <c r="V92" i="18"/>
  <c r="W92" i="18"/>
  <c r="X92" i="18"/>
  <c r="H93" i="18"/>
  <c r="I93" i="18"/>
  <c r="J93" i="18"/>
  <c r="K93" i="18"/>
  <c r="L93" i="18"/>
  <c r="M93" i="18"/>
  <c r="N93" i="18"/>
  <c r="O93" i="18"/>
  <c r="P93" i="18"/>
  <c r="Q93" i="18"/>
  <c r="R93" i="18"/>
  <c r="S93" i="18"/>
  <c r="T93" i="18"/>
  <c r="U93" i="18"/>
  <c r="V93" i="18"/>
  <c r="W93" i="18"/>
  <c r="X93" i="18"/>
  <c r="H64" i="18"/>
  <c r="I64" i="18"/>
  <c r="J64" i="18"/>
  <c r="K64" i="18"/>
  <c r="L64" i="18"/>
  <c r="M64" i="18"/>
  <c r="N64" i="18"/>
  <c r="O64" i="18"/>
  <c r="P64" i="18"/>
  <c r="Q64" i="18"/>
  <c r="R64" i="18"/>
  <c r="S64" i="18"/>
  <c r="T64" i="18"/>
  <c r="U64" i="18"/>
  <c r="V64" i="18"/>
  <c r="W64" i="18"/>
  <c r="X64" i="18"/>
  <c r="Y64" i="18"/>
  <c r="H65" i="18"/>
  <c r="I65" i="18"/>
  <c r="J65" i="18"/>
  <c r="K65" i="18"/>
  <c r="L65" i="18"/>
  <c r="M65" i="18"/>
  <c r="N65" i="18"/>
  <c r="O65" i="18"/>
  <c r="P65" i="18"/>
  <c r="Q65" i="18"/>
  <c r="R65" i="18"/>
  <c r="S65" i="18"/>
  <c r="T65" i="18"/>
  <c r="U65" i="18"/>
  <c r="V65" i="18"/>
  <c r="W65" i="18"/>
  <c r="X65" i="18"/>
  <c r="Y65" i="18"/>
  <c r="G66" i="18"/>
  <c r="H66" i="18"/>
  <c r="I66" i="18"/>
  <c r="J66" i="18"/>
  <c r="K66" i="18"/>
  <c r="L66" i="18"/>
  <c r="M66" i="18"/>
  <c r="N66" i="18"/>
  <c r="O66" i="18"/>
  <c r="P66" i="18"/>
  <c r="Q66" i="18"/>
  <c r="R66" i="18"/>
  <c r="S66" i="18"/>
  <c r="T66" i="18"/>
  <c r="U66" i="18"/>
  <c r="V66" i="18"/>
  <c r="W66" i="18"/>
  <c r="X66" i="18"/>
  <c r="Y66" i="18"/>
  <c r="F66" i="18"/>
  <c r="H56" i="18"/>
  <c r="I56" i="18"/>
  <c r="J56" i="18"/>
  <c r="K56" i="18"/>
  <c r="L56" i="18"/>
  <c r="M56" i="18"/>
  <c r="N56" i="18"/>
  <c r="O56" i="18"/>
  <c r="P56" i="18"/>
  <c r="Q56" i="18"/>
  <c r="R56" i="18"/>
  <c r="S56" i="18"/>
  <c r="T56" i="18"/>
  <c r="U56" i="18"/>
  <c r="V56" i="18"/>
  <c r="W56" i="18"/>
  <c r="X56" i="18"/>
  <c r="Y56" i="18"/>
  <c r="H57" i="18"/>
  <c r="I57" i="18"/>
  <c r="J57" i="18"/>
  <c r="K57" i="18"/>
  <c r="L57" i="18"/>
  <c r="M57" i="18"/>
  <c r="N57" i="18"/>
  <c r="O57" i="18"/>
  <c r="P57" i="18"/>
  <c r="Q57" i="18"/>
  <c r="R57" i="18"/>
  <c r="S57" i="18"/>
  <c r="T57" i="18"/>
  <c r="U57" i="18"/>
  <c r="V57" i="18"/>
  <c r="W57" i="18"/>
  <c r="X57" i="18"/>
  <c r="Y57" i="18"/>
  <c r="H58" i="18"/>
  <c r="I58" i="18"/>
  <c r="J58" i="18"/>
  <c r="K58" i="18"/>
  <c r="L58" i="18"/>
  <c r="M58" i="18"/>
  <c r="N58" i="18"/>
  <c r="O58" i="18"/>
  <c r="P58" i="18"/>
  <c r="Q58" i="18"/>
  <c r="R58" i="18"/>
  <c r="S58" i="18"/>
  <c r="T58" i="18"/>
  <c r="U58" i="18"/>
  <c r="V58" i="18"/>
  <c r="W58" i="18"/>
  <c r="X58" i="18"/>
  <c r="Y58" i="18"/>
  <c r="H42" i="18"/>
  <c r="I42" i="18"/>
  <c r="J42" i="18"/>
  <c r="K42" i="18"/>
  <c r="L42" i="18"/>
  <c r="M42" i="18"/>
  <c r="N42" i="18"/>
  <c r="O42" i="18"/>
  <c r="P42" i="18"/>
  <c r="Q42" i="18"/>
  <c r="R42" i="18"/>
  <c r="S42" i="18"/>
  <c r="T42" i="18"/>
  <c r="U42" i="18"/>
  <c r="V42" i="18"/>
  <c r="W42" i="18"/>
  <c r="X42" i="18"/>
  <c r="Y42" i="18"/>
  <c r="H43" i="18"/>
  <c r="I43" i="18"/>
  <c r="J43" i="18"/>
  <c r="K43" i="18"/>
  <c r="L43" i="18"/>
  <c r="M43" i="18"/>
  <c r="N43" i="18"/>
  <c r="O43" i="18"/>
  <c r="P43" i="18"/>
  <c r="Q43" i="18"/>
  <c r="R43" i="18"/>
  <c r="S43" i="18"/>
  <c r="T43" i="18"/>
  <c r="U43" i="18"/>
  <c r="V43" i="18"/>
  <c r="W43" i="18"/>
  <c r="X43" i="18"/>
  <c r="Y43" i="18"/>
  <c r="H44" i="18"/>
  <c r="I44" i="18"/>
  <c r="J44" i="18"/>
  <c r="K44" i="18"/>
  <c r="L44" i="18"/>
  <c r="M44" i="18"/>
  <c r="N44" i="18"/>
  <c r="O44" i="18"/>
  <c r="P44" i="18"/>
  <c r="Q44" i="18"/>
  <c r="R44" i="18"/>
  <c r="S44" i="18"/>
  <c r="T44" i="18"/>
  <c r="U44" i="18"/>
  <c r="V44" i="18"/>
  <c r="W44" i="18"/>
  <c r="X44" i="18"/>
  <c r="Y44" i="18"/>
  <c r="H99" i="18"/>
  <c r="I99" i="18"/>
  <c r="J99" i="18"/>
  <c r="K99" i="18"/>
  <c r="L99" i="18"/>
  <c r="M99" i="18"/>
  <c r="N99" i="18"/>
  <c r="O99" i="18"/>
  <c r="P99" i="18"/>
  <c r="Q99" i="18"/>
  <c r="R99" i="18"/>
  <c r="S99" i="18"/>
  <c r="T99" i="18"/>
  <c r="U99" i="18"/>
  <c r="V99" i="18"/>
  <c r="W99" i="18"/>
  <c r="X99" i="18"/>
  <c r="Y99" i="18"/>
  <c r="H100" i="18"/>
  <c r="I100" i="18"/>
  <c r="J100" i="18"/>
  <c r="K100" i="18"/>
  <c r="L100" i="18"/>
  <c r="M100" i="18"/>
  <c r="N100" i="18"/>
  <c r="O100" i="18"/>
  <c r="P100" i="18"/>
  <c r="Q100" i="18"/>
  <c r="R100" i="18"/>
  <c r="S100" i="18"/>
  <c r="T100" i="18"/>
  <c r="U100" i="18"/>
  <c r="V100" i="18"/>
  <c r="W100" i="18"/>
  <c r="X100" i="18"/>
  <c r="Y100" i="18"/>
  <c r="Y92" i="18"/>
  <c r="Y93" i="18"/>
  <c r="H77" i="18"/>
  <c r="I77" i="18"/>
  <c r="J77" i="18"/>
  <c r="K77" i="18"/>
  <c r="L77" i="18"/>
  <c r="M77" i="18"/>
  <c r="N77" i="18"/>
  <c r="O77" i="18"/>
  <c r="P77" i="18"/>
  <c r="Q77" i="18"/>
  <c r="R77" i="18"/>
  <c r="S77" i="18"/>
  <c r="T77" i="18"/>
  <c r="U77" i="18"/>
  <c r="V77" i="18"/>
  <c r="W77" i="18"/>
  <c r="X77" i="18"/>
  <c r="Y77" i="18"/>
  <c r="H78" i="18"/>
  <c r="I78" i="18"/>
  <c r="J78" i="18"/>
  <c r="K78" i="18"/>
  <c r="L78" i="18"/>
  <c r="M78" i="18"/>
  <c r="N78" i="18"/>
  <c r="O78" i="18"/>
  <c r="P78" i="18"/>
  <c r="Q78" i="18"/>
  <c r="R78" i="18"/>
  <c r="S78" i="18"/>
  <c r="T78" i="18"/>
  <c r="U78" i="18"/>
  <c r="V78" i="18"/>
  <c r="W78" i="18"/>
  <c r="X78" i="18"/>
  <c r="Y78" i="18"/>
  <c r="H34" i="18"/>
  <c r="I34" i="18"/>
  <c r="J34" i="18"/>
  <c r="K34" i="18"/>
  <c r="L34" i="18"/>
  <c r="M34" i="18"/>
  <c r="N34" i="18"/>
  <c r="O34" i="18"/>
  <c r="P34" i="18"/>
  <c r="Q34" i="18"/>
  <c r="R34" i="18"/>
  <c r="S34" i="18"/>
  <c r="T34" i="18"/>
  <c r="U34" i="18"/>
  <c r="V34" i="18"/>
  <c r="W34" i="18"/>
  <c r="X34" i="18"/>
  <c r="Y34" i="18"/>
  <c r="H35" i="18"/>
  <c r="I35" i="18"/>
  <c r="J35" i="18"/>
  <c r="K35" i="18"/>
  <c r="L35" i="18"/>
  <c r="M35" i="18"/>
  <c r="N35" i="18"/>
  <c r="O35" i="18"/>
  <c r="P35" i="18"/>
  <c r="Q35" i="18"/>
  <c r="R35" i="18"/>
  <c r="S35" i="18"/>
  <c r="T35" i="18"/>
  <c r="U35" i="18"/>
  <c r="V35" i="18"/>
  <c r="W35" i="18"/>
  <c r="X35" i="18"/>
  <c r="Y35" i="18"/>
  <c r="H20" i="18"/>
  <c r="I20" i="18"/>
  <c r="J20" i="18"/>
  <c r="K20" i="18"/>
  <c r="L20" i="18"/>
  <c r="M20" i="18"/>
  <c r="N20" i="18"/>
  <c r="O20" i="18"/>
  <c r="P20" i="18"/>
  <c r="Q20" i="18"/>
  <c r="R20" i="18"/>
  <c r="S20" i="18"/>
  <c r="T20" i="18"/>
  <c r="U20" i="18"/>
  <c r="V20" i="18"/>
  <c r="W20" i="18"/>
  <c r="X20" i="18"/>
  <c r="Y20" i="18"/>
  <c r="H21" i="18"/>
  <c r="I21" i="18"/>
  <c r="J21" i="18"/>
  <c r="K21" i="18"/>
  <c r="L21" i="18"/>
  <c r="M21" i="18"/>
  <c r="N21" i="18"/>
  <c r="O21" i="18"/>
  <c r="P21" i="18"/>
  <c r="Q21" i="18"/>
  <c r="R21" i="18"/>
  <c r="S21" i="18"/>
  <c r="T21" i="18"/>
  <c r="U21" i="18"/>
  <c r="V21" i="18"/>
  <c r="W21" i="18"/>
  <c r="X21" i="18"/>
  <c r="Y21" i="18"/>
  <c r="H9" i="18"/>
  <c r="I9" i="18"/>
  <c r="J9" i="18"/>
  <c r="K9" i="18"/>
  <c r="L9" i="18"/>
  <c r="M9" i="18"/>
  <c r="N9" i="18"/>
  <c r="O9" i="18"/>
  <c r="P9" i="18"/>
  <c r="Q9" i="18"/>
  <c r="R9" i="18"/>
  <c r="S9" i="18"/>
  <c r="T9" i="18"/>
  <c r="U9" i="18"/>
  <c r="V9" i="18"/>
  <c r="W9" i="18"/>
  <c r="X9" i="18"/>
  <c r="Y9" i="18"/>
  <c r="H10" i="18"/>
  <c r="I10" i="18"/>
  <c r="J10" i="18"/>
  <c r="K10" i="18"/>
  <c r="L10" i="18"/>
  <c r="M10" i="18"/>
  <c r="N10" i="18"/>
  <c r="O10" i="18"/>
  <c r="P10" i="18"/>
  <c r="Q10" i="18"/>
  <c r="R10" i="18"/>
  <c r="S10" i="18"/>
  <c r="T10" i="18"/>
  <c r="U10" i="18"/>
  <c r="V10" i="18"/>
  <c r="W10" i="18"/>
  <c r="X10" i="18"/>
  <c r="Y10" i="18"/>
  <c r="K98" i="18"/>
  <c r="N98" i="18"/>
  <c r="P98" i="18"/>
  <c r="V98" i="18"/>
  <c r="X98" i="18"/>
  <c r="K76" i="18"/>
  <c r="N76" i="18"/>
  <c r="S76" i="18"/>
  <c r="V76" i="18"/>
  <c r="X76" i="18"/>
  <c r="H33" i="18"/>
  <c r="I33" i="18"/>
  <c r="J33" i="18"/>
  <c r="K33" i="18"/>
  <c r="N33" i="18"/>
  <c r="Q33" i="18"/>
  <c r="R33" i="18"/>
  <c r="S33" i="18"/>
  <c r="T33" i="18"/>
  <c r="U33" i="18"/>
  <c r="V33" i="18"/>
  <c r="W33" i="18"/>
  <c r="X33" i="18"/>
  <c r="Y33" i="18"/>
  <c r="H19" i="18"/>
  <c r="I19" i="18"/>
  <c r="J19" i="18"/>
  <c r="K19" i="18"/>
  <c r="N19" i="18"/>
  <c r="Q19" i="18"/>
  <c r="R19" i="18"/>
  <c r="S19" i="18"/>
  <c r="T19" i="18"/>
  <c r="U19" i="18"/>
  <c r="V19" i="18"/>
  <c r="W19" i="18"/>
  <c r="X19" i="18"/>
  <c r="Y19" i="18"/>
  <c r="H8" i="18"/>
  <c r="I8" i="18"/>
  <c r="J8" i="18"/>
  <c r="K8" i="18"/>
  <c r="N8" i="18"/>
  <c r="R8" i="18"/>
  <c r="S8" i="18"/>
  <c r="V8" i="18"/>
  <c r="W8" i="18"/>
  <c r="X8" i="18"/>
  <c r="F32" i="24" l="1"/>
  <c r="F33" i="24"/>
  <c r="I50" i="24" s="1"/>
  <c r="F34" i="24"/>
  <c r="N19" i="28"/>
  <c r="N6" i="28"/>
  <c r="H15" i="28"/>
  <c r="G51" i="27"/>
  <c r="O46" i="27"/>
  <c r="O51" i="27" s="1"/>
  <c r="E28" i="28" s="1"/>
  <c r="L46" i="27"/>
  <c r="L51" i="27" s="1"/>
  <c r="E16" i="28" s="1"/>
  <c r="H16" i="28" s="1"/>
  <c r="M46" i="27"/>
  <c r="M51" i="27" s="1"/>
  <c r="E20" i="28" s="1"/>
  <c r="K46" i="27"/>
  <c r="K51" i="27" s="1"/>
  <c r="E12" i="28" s="1"/>
  <c r="N46" i="27"/>
  <c r="N51" i="27" s="1"/>
  <c r="E24" i="28" s="1"/>
  <c r="H23" i="28" s="1"/>
  <c r="J46" i="27"/>
  <c r="J51" i="27" s="1"/>
  <c r="E9" i="28" s="1"/>
  <c r="J20" i="20"/>
  <c r="K20" i="20"/>
  <c r="L20" i="20"/>
  <c r="M20" i="20"/>
  <c r="N20" i="20"/>
  <c r="O20" i="20"/>
  <c r="P20" i="20"/>
  <c r="Q20" i="20"/>
  <c r="R20" i="20"/>
  <c r="I20" i="20"/>
  <c r="AA4" i="20"/>
  <c r="AA5" i="20"/>
  <c r="AA6" i="20"/>
  <c r="AA7" i="20"/>
  <c r="AA8" i="20"/>
  <c r="AA9" i="20"/>
  <c r="AA10" i="20"/>
  <c r="AA11" i="20"/>
  <c r="AA12" i="20"/>
  <c r="AA13" i="20"/>
  <c r="AA14" i="20"/>
  <c r="AA15" i="20"/>
  <c r="AA16" i="20"/>
  <c r="AA17" i="20"/>
  <c r="AA18" i="20"/>
  <c r="AA19" i="20"/>
  <c r="AA3" i="20"/>
  <c r="W28" i="20"/>
  <c r="W29" i="20"/>
  <c r="W30" i="20"/>
  <c r="W31" i="20"/>
  <c r="W33" i="20"/>
  <c r="W34" i="20"/>
  <c r="W27" i="20"/>
  <c r="H32" i="20"/>
  <c r="I32" i="20"/>
  <c r="J32" i="20"/>
  <c r="K32" i="20"/>
  <c r="L32" i="20"/>
  <c r="M32" i="20"/>
  <c r="N32" i="20"/>
  <c r="O32" i="20"/>
  <c r="P32" i="20"/>
  <c r="Q32" i="20"/>
  <c r="R32" i="20"/>
  <c r="S32" i="20"/>
  <c r="T32" i="20"/>
  <c r="K13" i="28" l="1"/>
  <c r="K2" i="28"/>
  <c r="N2" i="28"/>
  <c r="N14" i="28"/>
  <c r="N16" i="28"/>
  <c r="N5" i="28"/>
  <c r="H20" i="28"/>
  <c r="N18" i="28"/>
  <c r="N1" i="28"/>
  <c r="H28" i="28"/>
  <c r="H27" i="28"/>
  <c r="N17" i="28"/>
  <c r="H24" i="28"/>
  <c r="H25" i="28"/>
  <c r="N3" i="28"/>
  <c r="K9" i="28"/>
  <c r="N13" i="28" s="1"/>
  <c r="H11" i="28"/>
  <c r="H13" i="28"/>
  <c r="H12" i="28"/>
  <c r="N15" i="28"/>
  <c r="N4" i="28"/>
  <c r="H19" i="28"/>
  <c r="I56" i="27"/>
  <c r="F49" i="24"/>
  <c r="V32" i="20"/>
  <c r="F52" i="24" l="1"/>
  <c r="B12" i="28" s="1"/>
  <c r="H27" i="20"/>
  <c r="I27" i="20"/>
  <c r="J27" i="20"/>
  <c r="K27" i="20"/>
  <c r="L27" i="20"/>
  <c r="M27" i="20"/>
  <c r="N27" i="20"/>
  <c r="O27" i="20"/>
  <c r="P27" i="20"/>
  <c r="Q27" i="20"/>
  <c r="R27" i="20"/>
  <c r="S27" i="20"/>
  <c r="T27" i="20"/>
  <c r="H28" i="20"/>
  <c r="I28" i="20"/>
  <c r="J28" i="20"/>
  <c r="K28" i="20"/>
  <c r="L28" i="20"/>
  <c r="M28" i="20"/>
  <c r="N28" i="20"/>
  <c r="O28" i="20"/>
  <c r="P28" i="20"/>
  <c r="Q28" i="20"/>
  <c r="R28" i="20"/>
  <c r="S28" i="20"/>
  <c r="T28" i="20"/>
  <c r="H29" i="20"/>
  <c r="I29" i="20"/>
  <c r="J29" i="20"/>
  <c r="K29" i="20"/>
  <c r="L29" i="20"/>
  <c r="M29" i="20"/>
  <c r="N29" i="20"/>
  <c r="O29" i="20"/>
  <c r="P29" i="20"/>
  <c r="Q29" i="20"/>
  <c r="R29" i="20"/>
  <c r="S29" i="20"/>
  <c r="T29" i="20"/>
  <c r="H30" i="20"/>
  <c r="I30" i="20"/>
  <c r="J30" i="20"/>
  <c r="K30" i="20"/>
  <c r="L30" i="20"/>
  <c r="M30" i="20"/>
  <c r="N30" i="20"/>
  <c r="O30" i="20"/>
  <c r="P30" i="20"/>
  <c r="Q30" i="20"/>
  <c r="R30" i="20"/>
  <c r="S30" i="20"/>
  <c r="T30" i="20"/>
  <c r="H31" i="20"/>
  <c r="I31" i="20"/>
  <c r="J31" i="20"/>
  <c r="K31" i="20"/>
  <c r="L31" i="20"/>
  <c r="M31" i="20"/>
  <c r="N31" i="20"/>
  <c r="O31" i="20"/>
  <c r="P31" i="20"/>
  <c r="Q31" i="20"/>
  <c r="R31" i="20"/>
  <c r="S31" i="20"/>
  <c r="T31" i="20"/>
  <c r="H33" i="20"/>
  <c r="I33" i="20"/>
  <c r="J33" i="20"/>
  <c r="K33" i="20"/>
  <c r="L33" i="20"/>
  <c r="M33" i="20"/>
  <c r="N33" i="20"/>
  <c r="O33" i="20"/>
  <c r="P33" i="20"/>
  <c r="Q33" i="20"/>
  <c r="R33" i="20"/>
  <c r="S33" i="20"/>
  <c r="T33" i="20"/>
  <c r="H34" i="20"/>
  <c r="I34" i="20"/>
  <c r="J34" i="20"/>
  <c r="K34" i="20"/>
  <c r="L34" i="20"/>
  <c r="M34" i="20"/>
  <c r="N34" i="20"/>
  <c r="O34" i="20"/>
  <c r="P34" i="20"/>
  <c r="Q34" i="20"/>
  <c r="R34" i="20"/>
  <c r="S34" i="20"/>
  <c r="T34" i="20"/>
  <c r="T22" i="20"/>
  <c r="T21" i="20"/>
  <c r="T20" i="20"/>
  <c r="G4" i="20"/>
  <c r="Z4" i="20" s="1"/>
  <c r="G5" i="20"/>
  <c r="Z5" i="20" s="1"/>
  <c r="G6" i="20"/>
  <c r="Z6" i="20" s="1"/>
  <c r="G7" i="20"/>
  <c r="Z7" i="20" s="1"/>
  <c r="G8" i="20"/>
  <c r="Z8" i="20" s="1"/>
  <c r="G9" i="20"/>
  <c r="Z9" i="20" s="1"/>
  <c r="G10" i="20"/>
  <c r="Z10" i="20" s="1"/>
  <c r="G11" i="20"/>
  <c r="Z11" i="20" s="1"/>
  <c r="G12" i="20"/>
  <c r="Z12" i="20" s="1"/>
  <c r="G13" i="20"/>
  <c r="G14" i="20"/>
  <c r="Z14" i="20" s="1"/>
  <c r="G15" i="20"/>
  <c r="Z15" i="20" s="1"/>
  <c r="G16" i="20"/>
  <c r="Z16" i="20" s="1"/>
  <c r="G17" i="20"/>
  <c r="Z17" i="20" s="1"/>
  <c r="G18" i="20"/>
  <c r="Z18" i="20" s="1"/>
  <c r="G19" i="20"/>
  <c r="Z19" i="20" s="1"/>
  <c r="G3" i="20"/>
  <c r="Z3" i="20" s="1"/>
  <c r="K98" i="15"/>
  <c r="N98" i="15"/>
  <c r="P98" i="15"/>
  <c r="V98" i="15"/>
  <c r="X98" i="15"/>
  <c r="H99" i="15"/>
  <c r="K99" i="15"/>
  <c r="N99" i="15"/>
  <c r="P99" i="15"/>
  <c r="S99" i="15"/>
  <c r="V99" i="15"/>
  <c r="W99" i="15"/>
  <c r="X99" i="15"/>
  <c r="K91" i="15"/>
  <c r="N91" i="15"/>
  <c r="V91" i="15"/>
  <c r="W91" i="15"/>
  <c r="X91" i="15"/>
  <c r="L92" i="15"/>
  <c r="N92" i="15"/>
  <c r="P92" i="15"/>
  <c r="T92" i="15"/>
  <c r="V92" i="15"/>
  <c r="X92" i="15"/>
  <c r="K76" i="15"/>
  <c r="L76" i="15"/>
  <c r="N76" i="15"/>
  <c r="P76" i="15"/>
  <c r="S76" i="15"/>
  <c r="V76" i="15"/>
  <c r="W76" i="15"/>
  <c r="X76" i="15"/>
  <c r="K77" i="15"/>
  <c r="M77" i="15"/>
  <c r="N77" i="15"/>
  <c r="S77" i="15"/>
  <c r="V77" i="15"/>
  <c r="X77" i="15"/>
  <c r="H58" i="15"/>
  <c r="I58" i="15"/>
  <c r="J58" i="15"/>
  <c r="K58" i="15"/>
  <c r="L58" i="15"/>
  <c r="N58" i="15"/>
  <c r="O58" i="15"/>
  <c r="P58" i="15"/>
  <c r="Q58" i="15"/>
  <c r="R58" i="15"/>
  <c r="S58" i="15"/>
  <c r="U58" i="15"/>
  <c r="V58" i="15"/>
  <c r="W58" i="15"/>
  <c r="X58" i="15"/>
  <c r="K59" i="15"/>
  <c r="N59" i="15"/>
  <c r="O59" i="15"/>
  <c r="V59" i="15"/>
  <c r="X59" i="15"/>
  <c r="H44" i="15"/>
  <c r="I44" i="15"/>
  <c r="J44" i="15"/>
  <c r="K44" i="15"/>
  <c r="L44" i="15"/>
  <c r="M44" i="15"/>
  <c r="N44" i="15"/>
  <c r="O44" i="15"/>
  <c r="P44" i="15"/>
  <c r="Q44" i="15"/>
  <c r="R44" i="15"/>
  <c r="S44" i="15"/>
  <c r="T44" i="15"/>
  <c r="U44" i="15"/>
  <c r="V44" i="15"/>
  <c r="W44" i="15"/>
  <c r="X44" i="15"/>
  <c r="Y44" i="15"/>
  <c r="H45" i="15"/>
  <c r="I45" i="15"/>
  <c r="J45" i="15"/>
  <c r="K45" i="15"/>
  <c r="L45" i="15"/>
  <c r="M45" i="15"/>
  <c r="N45" i="15"/>
  <c r="O45" i="15"/>
  <c r="P45" i="15"/>
  <c r="Q45" i="15"/>
  <c r="R45" i="15"/>
  <c r="S45" i="15"/>
  <c r="T45" i="15"/>
  <c r="U45" i="15"/>
  <c r="V45" i="15"/>
  <c r="W45" i="15"/>
  <c r="X45" i="15"/>
  <c r="Y45" i="15"/>
  <c r="H35" i="15"/>
  <c r="I35" i="15"/>
  <c r="J35" i="15"/>
  <c r="K35" i="15"/>
  <c r="N35" i="15"/>
  <c r="Q35" i="15"/>
  <c r="R35" i="15"/>
  <c r="S35" i="15"/>
  <c r="T35" i="15"/>
  <c r="U35" i="15"/>
  <c r="V35" i="15"/>
  <c r="W35" i="15"/>
  <c r="X35" i="15"/>
  <c r="Y35" i="15"/>
  <c r="H36" i="15"/>
  <c r="I36" i="15"/>
  <c r="J36" i="15"/>
  <c r="K36" i="15"/>
  <c r="N36" i="15"/>
  <c r="Q36" i="15"/>
  <c r="R36" i="15"/>
  <c r="S36" i="15"/>
  <c r="T36" i="15"/>
  <c r="U36" i="15"/>
  <c r="V36" i="15"/>
  <c r="W36" i="15"/>
  <c r="X36" i="15"/>
  <c r="Y36" i="15"/>
  <c r="H21" i="15"/>
  <c r="I21" i="15"/>
  <c r="J21" i="15"/>
  <c r="K21" i="15"/>
  <c r="N21" i="15"/>
  <c r="Q21" i="15"/>
  <c r="R21" i="15"/>
  <c r="S21" i="15"/>
  <c r="T21" i="15"/>
  <c r="U21" i="15"/>
  <c r="V21" i="15"/>
  <c r="W21" i="15"/>
  <c r="X21" i="15"/>
  <c r="Y21" i="15"/>
  <c r="H22" i="15"/>
  <c r="I22" i="15"/>
  <c r="J22" i="15"/>
  <c r="K22" i="15"/>
  <c r="N22" i="15"/>
  <c r="Q22" i="15"/>
  <c r="R22" i="15"/>
  <c r="S22" i="15"/>
  <c r="T22" i="15"/>
  <c r="U22" i="15"/>
  <c r="V22" i="15"/>
  <c r="W22" i="15"/>
  <c r="X22" i="15"/>
  <c r="Y22" i="15"/>
  <c r="H11" i="15"/>
  <c r="I11" i="15"/>
  <c r="J11" i="15"/>
  <c r="K11" i="15"/>
  <c r="N11" i="15"/>
  <c r="R11" i="15"/>
  <c r="S11" i="15"/>
  <c r="V11" i="15"/>
  <c r="W11" i="15"/>
  <c r="X11" i="15"/>
  <c r="I10" i="15"/>
  <c r="J10" i="15"/>
  <c r="K10" i="15"/>
  <c r="N10" i="15"/>
  <c r="Q10" i="15"/>
  <c r="R10" i="15"/>
  <c r="S10" i="15"/>
  <c r="T10" i="15"/>
  <c r="U10" i="15"/>
  <c r="V10" i="15"/>
  <c r="W10" i="15"/>
  <c r="X10" i="15"/>
  <c r="Y10" i="15"/>
  <c r="H10" i="15"/>
  <c r="K97" i="15"/>
  <c r="N97" i="15"/>
  <c r="P97" i="15"/>
  <c r="V97" i="15"/>
  <c r="X97" i="15"/>
  <c r="N90" i="15"/>
  <c r="V90" i="15"/>
  <c r="X90" i="15"/>
  <c r="K75" i="15"/>
  <c r="N75" i="15"/>
  <c r="S75" i="15"/>
  <c r="V75" i="15"/>
  <c r="X75" i="15"/>
  <c r="K65" i="15"/>
  <c r="N65" i="15"/>
  <c r="P65" i="15"/>
  <c r="V65" i="15"/>
  <c r="X65" i="15"/>
  <c r="K57" i="15"/>
  <c r="N57" i="15"/>
  <c r="O57" i="15"/>
  <c r="V57" i="15"/>
  <c r="X57" i="15"/>
  <c r="H43" i="15"/>
  <c r="I43" i="15"/>
  <c r="J43" i="15"/>
  <c r="K43" i="15"/>
  <c r="L43" i="15"/>
  <c r="M43" i="15"/>
  <c r="N43" i="15"/>
  <c r="O43" i="15"/>
  <c r="P43" i="15"/>
  <c r="Q43" i="15"/>
  <c r="R43" i="15"/>
  <c r="S43" i="15"/>
  <c r="T43" i="15"/>
  <c r="U43" i="15"/>
  <c r="V43" i="15"/>
  <c r="W43" i="15"/>
  <c r="X43" i="15"/>
  <c r="Y43" i="15"/>
  <c r="H34" i="15"/>
  <c r="I34" i="15"/>
  <c r="J34" i="15"/>
  <c r="K34" i="15"/>
  <c r="N34" i="15"/>
  <c r="Q34" i="15"/>
  <c r="R34" i="15"/>
  <c r="S34" i="15"/>
  <c r="T34" i="15"/>
  <c r="U34" i="15"/>
  <c r="V34" i="15"/>
  <c r="W34" i="15"/>
  <c r="X34" i="15"/>
  <c r="Y34" i="15"/>
  <c r="H20" i="15"/>
  <c r="I20" i="15"/>
  <c r="J20" i="15"/>
  <c r="K20" i="15"/>
  <c r="N20" i="15"/>
  <c r="Q20" i="15"/>
  <c r="R20" i="15"/>
  <c r="S20" i="15"/>
  <c r="T20" i="15"/>
  <c r="U20" i="15"/>
  <c r="V20" i="15"/>
  <c r="W20" i="15"/>
  <c r="X20" i="15"/>
  <c r="Y20" i="15"/>
  <c r="H9" i="15"/>
  <c r="I9" i="15"/>
  <c r="J9" i="15"/>
  <c r="K9" i="15"/>
  <c r="N9" i="15"/>
  <c r="R9" i="15"/>
  <c r="S9" i="15"/>
  <c r="V9" i="15"/>
  <c r="W9" i="15"/>
  <c r="X9" i="15"/>
  <c r="Y94" i="15"/>
  <c r="Y98" i="15" s="1"/>
  <c r="W94" i="15"/>
  <c r="W98" i="15" s="1"/>
  <c r="S94" i="15"/>
  <c r="S97" i="15" s="1"/>
  <c r="R94" i="15"/>
  <c r="R98" i="15" s="1"/>
  <c r="Q94" i="15"/>
  <c r="Q98" i="15" s="1"/>
  <c r="M94" i="15"/>
  <c r="M98" i="15" s="1"/>
  <c r="L94" i="15"/>
  <c r="L98" i="15" s="1"/>
  <c r="F4" i="18"/>
  <c r="G4" i="18"/>
  <c r="F5" i="18"/>
  <c r="G5" i="18"/>
  <c r="F13" i="18"/>
  <c r="G13" i="18"/>
  <c r="F14" i="18"/>
  <c r="G14" i="18"/>
  <c r="F15" i="18"/>
  <c r="G15" i="18"/>
  <c r="F25" i="18"/>
  <c r="G25" i="18"/>
  <c r="F26" i="18"/>
  <c r="G26" i="18"/>
  <c r="F27" i="18"/>
  <c r="G27" i="18"/>
  <c r="F28" i="18"/>
  <c r="G28" i="18"/>
  <c r="F29" i="18"/>
  <c r="G29" i="18"/>
  <c r="F30" i="18"/>
  <c r="G30" i="18"/>
  <c r="F37" i="18"/>
  <c r="G37" i="18"/>
  <c r="F38" i="18"/>
  <c r="G38" i="18"/>
  <c r="F39" i="18"/>
  <c r="F43" i="18" s="1"/>
  <c r="G39" i="18"/>
  <c r="G43" i="18" s="1"/>
  <c r="F40" i="18"/>
  <c r="G40" i="18"/>
  <c r="F41" i="18"/>
  <c r="G41" i="18"/>
  <c r="F46" i="18"/>
  <c r="G46" i="18"/>
  <c r="F47" i="18"/>
  <c r="G47" i="18"/>
  <c r="F48" i="18"/>
  <c r="G48" i="18"/>
  <c r="F49" i="18"/>
  <c r="G49" i="18"/>
  <c r="F50" i="18"/>
  <c r="G50" i="18"/>
  <c r="F51" i="18"/>
  <c r="G51" i="18"/>
  <c r="F55" i="18"/>
  <c r="G55" i="18"/>
  <c r="F71" i="18"/>
  <c r="G71" i="18"/>
  <c r="F72" i="18"/>
  <c r="G72" i="18"/>
  <c r="G74" i="18"/>
  <c r="F85" i="18"/>
  <c r="G85" i="18"/>
  <c r="F87" i="18"/>
  <c r="G87" i="18"/>
  <c r="F89" i="18"/>
  <c r="G89" i="18"/>
  <c r="H95" i="18"/>
  <c r="H98" i="18" s="1"/>
  <c r="I54" i="18"/>
  <c r="I69" i="18"/>
  <c r="I81" i="18"/>
  <c r="J69" i="18"/>
  <c r="J81" i="18"/>
  <c r="J54" i="18"/>
  <c r="K81" i="18"/>
  <c r="Y97" i="18"/>
  <c r="W97" i="18"/>
  <c r="U97" i="18"/>
  <c r="T97" i="18"/>
  <c r="R97" i="18"/>
  <c r="Q97" i="18"/>
  <c r="O97" i="18"/>
  <c r="M97" i="18"/>
  <c r="L97" i="18"/>
  <c r="J97" i="18"/>
  <c r="I97" i="18"/>
  <c r="H97" i="18"/>
  <c r="Y96" i="18"/>
  <c r="U96" i="18"/>
  <c r="T96" i="18"/>
  <c r="T98" i="18" s="1"/>
  <c r="R96" i="18"/>
  <c r="Q96" i="18"/>
  <c r="O96" i="18"/>
  <c r="M96" i="18"/>
  <c r="L96" i="18"/>
  <c r="J96" i="18"/>
  <c r="J98" i="18" s="1"/>
  <c r="I96" i="18"/>
  <c r="Y95" i="18"/>
  <c r="W95" i="18"/>
  <c r="W98" i="18" s="1"/>
  <c r="S95" i="18"/>
  <c r="S98" i="18" s="1"/>
  <c r="R95" i="18"/>
  <c r="R98" i="18" s="1"/>
  <c r="Q95" i="18"/>
  <c r="M95" i="18"/>
  <c r="M98" i="18" s="1"/>
  <c r="L95" i="18"/>
  <c r="Y90" i="18"/>
  <c r="U90" i="18"/>
  <c r="T90" i="18"/>
  <c r="R90" i="18"/>
  <c r="Q90" i="18"/>
  <c r="P90" i="18"/>
  <c r="O90" i="18"/>
  <c r="M90" i="18"/>
  <c r="L90" i="18"/>
  <c r="J90" i="18"/>
  <c r="I90" i="18"/>
  <c r="H90" i="18"/>
  <c r="J88" i="18"/>
  <c r="I88" i="18"/>
  <c r="J86" i="18"/>
  <c r="I86" i="18"/>
  <c r="F86" i="18" s="1"/>
  <c r="U84" i="18"/>
  <c r="T84" i="18"/>
  <c r="P84" i="18"/>
  <c r="O84" i="18"/>
  <c r="J84" i="18"/>
  <c r="I84" i="18"/>
  <c r="Y83" i="18"/>
  <c r="M83" i="18"/>
  <c r="F83" i="18" s="1"/>
  <c r="L82" i="18"/>
  <c r="G82" i="18" s="1"/>
  <c r="Y81" i="18"/>
  <c r="W81" i="18"/>
  <c r="U81" i="18"/>
  <c r="S81" i="18"/>
  <c r="R81" i="18"/>
  <c r="Q81" i="18"/>
  <c r="O81" i="18"/>
  <c r="M81" i="18"/>
  <c r="L81" i="18"/>
  <c r="H81" i="18"/>
  <c r="Y80" i="18"/>
  <c r="Y91" i="18" s="1"/>
  <c r="U80" i="18"/>
  <c r="T80" i="18"/>
  <c r="S80" i="18"/>
  <c r="Q80" i="18"/>
  <c r="O80" i="18"/>
  <c r="M80" i="18"/>
  <c r="L80" i="18"/>
  <c r="J80" i="18"/>
  <c r="I80" i="18"/>
  <c r="H80" i="18"/>
  <c r="Y75" i="18"/>
  <c r="U75" i="18"/>
  <c r="T75" i="18"/>
  <c r="R75" i="18"/>
  <c r="L75" i="18"/>
  <c r="L76" i="18" s="1"/>
  <c r="J75" i="18"/>
  <c r="I75" i="18"/>
  <c r="H75" i="18"/>
  <c r="Y74" i="18"/>
  <c r="F74" i="18" s="1"/>
  <c r="Y73" i="18"/>
  <c r="U73" i="18"/>
  <c r="T73" i="18"/>
  <c r="J73" i="18"/>
  <c r="I73" i="18"/>
  <c r="U70" i="18"/>
  <c r="T70" i="18"/>
  <c r="J70" i="18"/>
  <c r="I70" i="18"/>
  <c r="Y69" i="18"/>
  <c r="W69" i="18"/>
  <c r="W76" i="18" s="1"/>
  <c r="U69" i="18"/>
  <c r="T69" i="18"/>
  <c r="R69" i="18"/>
  <c r="Q69" i="18"/>
  <c r="P69" i="18"/>
  <c r="P76" i="18" s="1"/>
  <c r="O69" i="18"/>
  <c r="M69" i="18"/>
  <c r="H69" i="18"/>
  <c r="Y68" i="18"/>
  <c r="Y76" i="18" s="1"/>
  <c r="U68" i="18"/>
  <c r="U76" i="18" s="1"/>
  <c r="T68" i="18"/>
  <c r="R68" i="18"/>
  <c r="Q68" i="18"/>
  <c r="Q76" i="18" s="1"/>
  <c r="O68" i="18"/>
  <c r="O76" i="18" s="1"/>
  <c r="M68" i="18"/>
  <c r="M76" i="18" s="1"/>
  <c r="J68" i="18"/>
  <c r="I68" i="18"/>
  <c r="H68" i="18"/>
  <c r="H76" i="18" s="1"/>
  <c r="Y63" i="18"/>
  <c r="U63" i="18"/>
  <c r="T63" i="18"/>
  <c r="S63" i="18"/>
  <c r="R63" i="18"/>
  <c r="M63" i="18"/>
  <c r="L63" i="18"/>
  <c r="J63" i="18"/>
  <c r="I63" i="18"/>
  <c r="H63" i="18"/>
  <c r="Y62" i="18"/>
  <c r="W62" i="18"/>
  <c r="U62" i="18"/>
  <c r="T62" i="18"/>
  <c r="R62" i="18"/>
  <c r="Q62" i="18"/>
  <c r="O62" i="18"/>
  <c r="M62" i="18"/>
  <c r="L62" i="18"/>
  <c r="J62" i="18"/>
  <c r="I62" i="18"/>
  <c r="H62" i="18"/>
  <c r="Y61" i="18"/>
  <c r="U61" i="18"/>
  <c r="T61" i="18"/>
  <c r="R61" i="18"/>
  <c r="Q61" i="18"/>
  <c r="O61" i="18"/>
  <c r="M61" i="18"/>
  <c r="J61" i="18"/>
  <c r="I61" i="18"/>
  <c r="H61" i="18"/>
  <c r="Y60" i="18"/>
  <c r="W60" i="18"/>
  <c r="U60" i="18"/>
  <c r="R60" i="18"/>
  <c r="O60" i="18"/>
  <c r="M60" i="18"/>
  <c r="L60" i="18"/>
  <c r="I60" i="18"/>
  <c r="H60" i="18"/>
  <c r="Y54" i="18"/>
  <c r="W54" i="18"/>
  <c r="U54" i="18"/>
  <c r="T54" i="18"/>
  <c r="S54" i="18"/>
  <c r="R54" i="18"/>
  <c r="Q54" i="18"/>
  <c r="P54" i="18"/>
  <c r="M54" i="18"/>
  <c r="L54" i="18"/>
  <c r="H54" i="18"/>
  <c r="Y53" i="18"/>
  <c r="T53" i="18"/>
  <c r="M53" i="18"/>
  <c r="Q52" i="18"/>
  <c r="H52" i="18"/>
  <c r="P32" i="18"/>
  <c r="O32" i="18"/>
  <c r="M32" i="18"/>
  <c r="L32" i="18"/>
  <c r="P31" i="18"/>
  <c r="P33" i="18" s="1"/>
  <c r="O31" i="18"/>
  <c r="M31" i="18"/>
  <c r="L31" i="18"/>
  <c r="M24" i="18"/>
  <c r="L24" i="18"/>
  <c r="M23" i="18"/>
  <c r="L23" i="18"/>
  <c r="M18" i="18"/>
  <c r="L18" i="18"/>
  <c r="P17" i="18"/>
  <c r="O17" i="18"/>
  <c r="M17" i="18"/>
  <c r="L17" i="18"/>
  <c r="P16" i="18"/>
  <c r="O16" i="18"/>
  <c r="M16" i="18"/>
  <c r="L16" i="18"/>
  <c r="M12" i="18"/>
  <c r="M19" i="18" s="1"/>
  <c r="L12" i="18"/>
  <c r="Y7" i="18"/>
  <c r="Y8" i="18" s="1"/>
  <c r="U7" i="18"/>
  <c r="U8" i="18" s="1"/>
  <c r="T7" i="18"/>
  <c r="T8" i="18" s="1"/>
  <c r="Q7" i="18"/>
  <c r="Q8" i="18" s="1"/>
  <c r="P7" i="18"/>
  <c r="O7" i="18"/>
  <c r="M7" i="18"/>
  <c r="L7" i="18"/>
  <c r="P6" i="18"/>
  <c r="O6" i="18"/>
  <c r="O8" i="18" s="1"/>
  <c r="M6" i="18"/>
  <c r="L6" i="18"/>
  <c r="M3" i="18"/>
  <c r="L3" i="18"/>
  <c r="L8" i="18" s="1"/>
  <c r="G5" i="15"/>
  <c r="G6" i="15"/>
  <c r="G14" i="15"/>
  <c r="G15" i="15"/>
  <c r="G16" i="15"/>
  <c r="G26" i="15"/>
  <c r="G27" i="15"/>
  <c r="G28" i="15"/>
  <c r="G29" i="15"/>
  <c r="G30" i="15"/>
  <c r="G31" i="15"/>
  <c r="G38" i="15"/>
  <c r="G39" i="15"/>
  <c r="G40" i="15"/>
  <c r="G44" i="15" s="1"/>
  <c r="G41" i="15"/>
  <c r="G42" i="15"/>
  <c r="G47" i="15"/>
  <c r="G48" i="15"/>
  <c r="G49" i="15"/>
  <c r="G50" i="15"/>
  <c r="G51" i="15"/>
  <c r="G52" i="15"/>
  <c r="G70" i="15"/>
  <c r="G71" i="15"/>
  <c r="G84" i="15"/>
  <c r="G86" i="15"/>
  <c r="G88" i="15"/>
  <c r="Y96" i="15"/>
  <c r="W96" i="15"/>
  <c r="O96" i="15"/>
  <c r="O98" i="15" s="1"/>
  <c r="M96" i="15"/>
  <c r="L96" i="15"/>
  <c r="U96" i="15"/>
  <c r="U98" i="15" s="1"/>
  <c r="T96" i="15"/>
  <c r="T98" i="15" s="1"/>
  <c r="J96" i="15"/>
  <c r="J98" i="15" s="1"/>
  <c r="I96" i="15"/>
  <c r="I98" i="15" s="1"/>
  <c r="R96" i="15"/>
  <c r="Q96" i="15"/>
  <c r="H96" i="15"/>
  <c r="H98" i="15" s="1"/>
  <c r="Q95" i="15"/>
  <c r="Q99" i="15" s="1"/>
  <c r="Y95" i="15"/>
  <c r="Y99" i="15" s="1"/>
  <c r="O95" i="15"/>
  <c r="O99" i="15" s="1"/>
  <c r="M95" i="15"/>
  <c r="M99" i="15" s="1"/>
  <c r="L95" i="15"/>
  <c r="L99" i="15" s="1"/>
  <c r="U95" i="15"/>
  <c r="U99" i="15" s="1"/>
  <c r="T95" i="15"/>
  <c r="J95" i="15"/>
  <c r="J99" i="15" s="1"/>
  <c r="I95" i="15"/>
  <c r="I99" i="15" s="1"/>
  <c r="R95" i="15"/>
  <c r="R99" i="15" s="1"/>
  <c r="Y89" i="15"/>
  <c r="P89" i="15"/>
  <c r="O89" i="15"/>
  <c r="M89" i="15"/>
  <c r="L89" i="15"/>
  <c r="U89" i="15"/>
  <c r="T89" i="15"/>
  <c r="J89" i="15"/>
  <c r="I89" i="15"/>
  <c r="R89" i="15"/>
  <c r="R91" i="15" s="1"/>
  <c r="Q89" i="15"/>
  <c r="H89" i="15"/>
  <c r="J87" i="15"/>
  <c r="I87" i="15"/>
  <c r="J85" i="15"/>
  <c r="I85" i="15"/>
  <c r="P83" i="15"/>
  <c r="P91" i="15" s="1"/>
  <c r="O83" i="15"/>
  <c r="U83" i="15"/>
  <c r="T83" i="15"/>
  <c r="J83" i="15"/>
  <c r="I83" i="15"/>
  <c r="Y82" i="15"/>
  <c r="M82" i="15"/>
  <c r="L81" i="15"/>
  <c r="G81" i="15" s="1"/>
  <c r="Y80" i="15"/>
  <c r="Y92" i="15" s="1"/>
  <c r="W80" i="15"/>
  <c r="W90" i="15" s="1"/>
  <c r="O80" i="15"/>
  <c r="O92" i="15" s="1"/>
  <c r="M80" i="15"/>
  <c r="M92" i="15" s="1"/>
  <c r="L80" i="15"/>
  <c r="U80" i="15"/>
  <c r="U92" i="15" s="1"/>
  <c r="K80" i="15"/>
  <c r="K90" i="15" s="1"/>
  <c r="I80" i="15"/>
  <c r="I92" i="15" s="1"/>
  <c r="J80" i="15"/>
  <c r="J92" i="15" s="1"/>
  <c r="S80" i="15"/>
  <c r="S92" i="15" s="1"/>
  <c r="R80" i="15"/>
  <c r="R90" i="15" s="1"/>
  <c r="Q80" i="15"/>
  <c r="Q92" i="15" s="1"/>
  <c r="H80" i="15"/>
  <c r="H92" i="15" s="1"/>
  <c r="Y79" i="15"/>
  <c r="Y91" i="15" s="1"/>
  <c r="O79" i="15"/>
  <c r="O91" i="15" s="1"/>
  <c r="M79" i="15"/>
  <c r="M91" i="15" s="1"/>
  <c r="L79" i="15"/>
  <c r="L91" i="15" s="1"/>
  <c r="U79" i="15"/>
  <c r="U91" i="15" s="1"/>
  <c r="T79" i="15"/>
  <c r="T91" i="15" s="1"/>
  <c r="I79" i="15"/>
  <c r="I91" i="15" s="1"/>
  <c r="J79" i="15"/>
  <c r="J91" i="15" s="1"/>
  <c r="S79" i="15"/>
  <c r="S91" i="15" s="1"/>
  <c r="Q79" i="15"/>
  <c r="Q91" i="15" s="1"/>
  <c r="H79" i="15"/>
  <c r="H91" i="15" s="1"/>
  <c r="Y74" i="15"/>
  <c r="U74" i="15"/>
  <c r="T74" i="15"/>
  <c r="L74" i="15"/>
  <c r="L75" i="15" s="1"/>
  <c r="I74" i="15"/>
  <c r="J74" i="15"/>
  <c r="R74" i="15"/>
  <c r="H74" i="15"/>
  <c r="Y73" i="15"/>
  <c r="G73" i="15" s="1"/>
  <c r="Y72" i="15"/>
  <c r="U72" i="15"/>
  <c r="T72" i="15"/>
  <c r="J72" i="15"/>
  <c r="I72" i="15"/>
  <c r="Y68" i="15"/>
  <c r="Y77" i="15" s="1"/>
  <c r="U68" i="15"/>
  <c r="U77" i="15" s="1"/>
  <c r="T68" i="15"/>
  <c r="T77" i="15" s="1"/>
  <c r="W68" i="15"/>
  <c r="W75" i="15" s="1"/>
  <c r="P68" i="15"/>
  <c r="P75" i="15" s="1"/>
  <c r="O68" i="15"/>
  <c r="O77" i="15" s="1"/>
  <c r="M68" i="15"/>
  <c r="I68" i="15"/>
  <c r="I77" i="15" s="1"/>
  <c r="J68" i="15"/>
  <c r="J77" i="15" s="1"/>
  <c r="R68" i="15"/>
  <c r="R77" i="15" s="1"/>
  <c r="Q68" i="15"/>
  <c r="Q77" i="15" s="1"/>
  <c r="H68" i="15"/>
  <c r="H77" i="15" s="1"/>
  <c r="U69" i="15"/>
  <c r="T69" i="15"/>
  <c r="J69" i="15"/>
  <c r="I69" i="15"/>
  <c r="Y67" i="15"/>
  <c r="Y76" i="15" s="1"/>
  <c r="O67" i="15"/>
  <c r="O76" i="15" s="1"/>
  <c r="M67" i="15"/>
  <c r="M76" i="15" s="1"/>
  <c r="U67" i="15"/>
  <c r="U76" i="15" s="1"/>
  <c r="T67" i="15"/>
  <c r="T76" i="15" s="1"/>
  <c r="I67" i="15"/>
  <c r="I76" i="15" s="1"/>
  <c r="J67" i="15"/>
  <c r="J76" i="15" s="1"/>
  <c r="R67" i="15"/>
  <c r="R76" i="15" s="1"/>
  <c r="Q67" i="15"/>
  <c r="Q76" i="15" s="1"/>
  <c r="H67" i="15"/>
  <c r="H76" i="15" s="1"/>
  <c r="Y64" i="15"/>
  <c r="U64" i="15"/>
  <c r="T64" i="15"/>
  <c r="S64" i="15"/>
  <c r="S65" i="15" s="1"/>
  <c r="R64" i="15"/>
  <c r="M64" i="15"/>
  <c r="L64" i="15"/>
  <c r="J64" i="15"/>
  <c r="I64" i="15"/>
  <c r="H64" i="15"/>
  <c r="Y63" i="15"/>
  <c r="W63" i="15"/>
  <c r="U63" i="15"/>
  <c r="T63" i="15"/>
  <c r="R63" i="15"/>
  <c r="Q63" i="15"/>
  <c r="O63" i="15"/>
  <c r="M63" i="15"/>
  <c r="L63" i="15"/>
  <c r="J63" i="15"/>
  <c r="I63" i="15"/>
  <c r="H63" i="15"/>
  <c r="Y62" i="15"/>
  <c r="U62" i="15"/>
  <c r="T62" i="15"/>
  <c r="R62" i="15"/>
  <c r="Q62" i="15"/>
  <c r="O62" i="15"/>
  <c r="M62" i="15"/>
  <c r="J62" i="15"/>
  <c r="I62" i="15"/>
  <c r="H62" i="15"/>
  <c r="Y61" i="15"/>
  <c r="W61" i="15"/>
  <c r="U61" i="15"/>
  <c r="R61" i="15"/>
  <c r="O61" i="15"/>
  <c r="M61" i="15"/>
  <c r="L61" i="15"/>
  <c r="I61" i="15"/>
  <c r="H61" i="15"/>
  <c r="T97" i="15" l="1"/>
  <c r="W92" i="15"/>
  <c r="T99" i="15"/>
  <c r="P77" i="15"/>
  <c r="W77" i="15"/>
  <c r="S98" i="15"/>
  <c r="G45" i="15"/>
  <c r="K92" i="15"/>
  <c r="L77" i="15"/>
  <c r="R92" i="15"/>
  <c r="F50" i="24"/>
  <c r="G42" i="18"/>
  <c r="G44" i="18"/>
  <c r="F42" i="18"/>
  <c r="F44" i="18"/>
  <c r="F21" i="18"/>
  <c r="G57" i="18"/>
  <c r="M8" i="18"/>
  <c r="O19" i="18"/>
  <c r="L33" i="18"/>
  <c r="I98" i="18"/>
  <c r="U98" i="18"/>
  <c r="J76" i="18"/>
  <c r="P19" i="18"/>
  <c r="M33" i="18"/>
  <c r="L98" i="18"/>
  <c r="Y98" i="18"/>
  <c r="P8" i="18"/>
  <c r="R76" i="18"/>
  <c r="Q98" i="18"/>
  <c r="L19" i="18"/>
  <c r="T76" i="18"/>
  <c r="O98" i="18"/>
  <c r="O33" i="18"/>
  <c r="I76" i="18"/>
  <c r="F24" i="18"/>
  <c r="G88" i="18"/>
  <c r="G70" i="18"/>
  <c r="F3" i="18"/>
  <c r="F10" i="18" s="1"/>
  <c r="F16" i="18"/>
  <c r="G18" i="18"/>
  <c r="G21" i="18" s="1"/>
  <c r="F53" i="18"/>
  <c r="F57" i="18" s="1"/>
  <c r="G86" i="18"/>
  <c r="F88" i="18"/>
  <c r="G83" i="18"/>
  <c r="F81" i="18"/>
  <c r="F93" i="18" s="1"/>
  <c r="G95" i="18"/>
  <c r="F6" i="18"/>
  <c r="F9" i="18" s="1"/>
  <c r="F23" i="18"/>
  <c r="F32" i="18"/>
  <c r="F69" i="18"/>
  <c r="F82" i="18"/>
  <c r="F18" i="18"/>
  <c r="F17" i="18"/>
  <c r="F97" i="18"/>
  <c r="F62" i="18"/>
  <c r="F96" i="18"/>
  <c r="F100" i="18" s="1"/>
  <c r="F80" i="18"/>
  <c r="F84" i="18"/>
  <c r="G23" i="18"/>
  <c r="F7" i="18"/>
  <c r="F12" i="18"/>
  <c r="G31" i="18"/>
  <c r="F52" i="18"/>
  <c r="F60" i="18"/>
  <c r="F63" i="18"/>
  <c r="F70" i="18"/>
  <c r="G75" i="18"/>
  <c r="G80" i="18"/>
  <c r="G84" i="18"/>
  <c r="F54" i="18"/>
  <c r="G3" i="18"/>
  <c r="G10" i="18" s="1"/>
  <c r="F90" i="18"/>
  <c r="F61" i="18"/>
  <c r="F68" i="18"/>
  <c r="F77" i="18" s="1"/>
  <c r="F73" i="18"/>
  <c r="G90" i="18"/>
  <c r="F95" i="18"/>
  <c r="G63" i="18"/>
  <c r="G7" i="18"/>
  <c r="F75" i="18"/>
  <c r="F31" i="18"/>
  <c r="G62" i="18"/>
  <c r="G54" i="18"/>
  <c r="G6" i="18"/>
  <c r="G9" i="18" s="1"/>
  <c r="G69" i="18"/>
  <c r="G17" i="18"/>
  <c r="G97" i="18"/>
  <c r="G81" i="18"/>
  <c r="G93" i="18" s="1"/>
  <c r="G73" i="18"/>
  <c r="G61" i="18"/>
  <c r="G53" i="18"/>
  <c r="G96" i="18"/>
  <c r="G100" i="18" s="1"/>
  <c r="G68" i="18"/>
  <c r="G77" i="18" s="1"/>
  <c r="G52" i="18"/>
  <c r="G56" i="18" s="1"/>
  <c r="G32" i="18"/>
  <c r="G16" i="18"/>
  <c r="G12" i="18"/>
  <c r="G60" i="18"/>
  <c r="G24" i="18"/>
  <c r="V29" i="20"/>
  <c r="V33" i="20"/>
  <c r="V27" i="20"/>
  <c r="V30" i="20"/>
  <c r="V34" i="20"/>
  <c r="V28" i="20"/>
  <c r="V31" i="20"/>
  <c r="Z13" i="20"/>
  <c r="Z21" i="20" s="1"/>
  <c r="G32" i="20"/>
  <c r="U32" i="20" s="1"/>
  <c r="G29" i="20"/>
  <c r="U29" i="20" s="1"/>
  <c r="T35" i="20"/>
  <c r="T36" i="20"/>
  <c r="G30" i="20"/>
  <c r="U30" i="20" s="1"/>
  <c r="G33" i="20"/>
  <c r="U33" i="20" s="1"/>
  <c r="G31" i="20"/>
  <c r="U31" i="20" s="1"/>
  <c r="G34" i="20"/>
  <c r="U34" i="20" s="1"/>
  <c r="G27" i="20"/>
  <c r="U27" i="20" s="1"/>
  <c r="G28" i="20"/>
  <c r="U28" i="20" s="1"/>
  <c r="U97" i="15"/>
  <c r="P90" i="15"/>
  <c r="Q75" i="15"/>
  <c r="J97" i="15"/>
  <c r="H75" i="15"/>
  <c r="Y75" i="15"/>
  <c r="S90" i="15"/>
  <c r="I97" i="15"/>
  <c r="Q65" i="15"/>
  <c r="Y97" i="15"/>
  <c r="R75" i="15"/>
  <c r="Y90" i="15"/>
  <c r="J65" i="15"/>
  <c r="O65" i="15"/>
  <c r="T90" i="15"/>
  <c r="I75" i="15"/>
  <c r="M65" i="15"/>
  <c r="W97" i="15"/>
  <c r="J90" i="15"/>
  <c r="J75" i="15"/>
  <c r="I90" i="15"/>
  <c r="R65" i="15"/>
  <c r="H97" i="15"/>
  <c r="W65" i="15"/>
  <c r="U75" i="15"/>
  <c r="U90" i="15"/>
  <c r="L97" i="15"/>
  <c r="T75" i="15"/>
  <c r="H65" i="15"/>
  <c r="Y65" i="15"/>
  <c r="T65" i="15"/>
  <c r="M75" i="15"/>
  <c r="M97" i="15"/>
  <c r="I65" i="15"/>
  <c r="O75" i="15"/>
  <c r="H90" i="15"/>
  <c r="M90" i="15"/>
  <c r="O97" i="15"/>
  <c r="Q97" i="15"/>
  <c r="U65" i="15"/>
  <c r="L65" i="15"/>
  <c r="Q90" i="15"/>
  <c r="O90" i="15"/>
  <c r="R97" i="15"/>
  <c r="G43" i="15"/>
  <c r="L90" i="15"/>
  <c r="G87" i="15"/>
  <c r="G94" i="15"/>
  <c r="G98" i="15" s="1"/>
  <c r="G89" i="15"/>
  <c r="G74" i="15"/>
  <c r="G96" i="15"/>
  <c r="G82" i="15"/>
  <c r="G85" i="15"/>
  <c r="G62" i="15"/>
  <c r="G72" i="15"/>
  <c r="G95" i="15"/>
  <c r="G99" i="15" s="1"/>
  <c r="G64" i="15"/>
  <c r="G61" i="15"/>
  <c r="G79" i="15"/>
  <c r="G83" i="15"/>
  <c r="G63" i="15"/>
  <c r="G69" i="15"/>
  <c r="G68" i="15"/>
  <c r="G77" i="15" s="1"/>
  <c r="G67" i="15"/>
  <c r="G76" i="15" s="1"/>
  <c r="G80" i="15"/>
  <c r="G92" i="15" s="1"/>
  <c r="Q53" i="15"/>
  <c r="H53" i="15"/>
  <c r="M25" i="15"/>
  <c r="L25" i="15"/>
  <c r="M24" i="15"/>
  <c r="L24" i="15"/>
  <c r="M19" i="15"/>
  <c r="L19" i="15"/>
  <c r="M13" i="15"/>
  <c r="L13" i="15"/>
  <c r="M4" i="15"/>
  <c r="L4" i="15"/>
  <c r="Y55" i="15"/>
  <c r="Y59" i="15" s="1"/>
  <c r="W55" i="15"/>
  <c r="U55" i="15"/>
  <c r="T55" i="15"/>
  <c r="T59" i="15" s="1"/>
  <c r="S55" i="15"/>
  <c r="R55" i="15"/>
  <c r="Q55" i="15"/>
  <c r="P55" i="15"/>
  <c r="M55" i="15"/>
  <c r="M59" i="15" s="1"/>
  <c r="L55" i="15"/>
  <c r="J55" i="15"/>
  <c r="I55" i="15"/>
  <c r="H55" i="15"/>
  <c r="Y54" i="15"/>
  <c r="Y58" i="15" s="1"/>
  <c r="T54" i="15"/>
  <c r="T58" i="15" s="1"/>
  <c r="M54" i="15"/>
  <c r="M58" i="15" s="1"/>
  <c r="P33" i="15"/>
  <c r="P36" i="15" s="1"/>
  <c r="O33" i="15"/>
  <c r="O36" i="15" s="1"/>
  <c r="M33" i="15"/>
  <c r="L33" i="15"/>
  <c r="P32" i="15"/>
  <c r="P35" i="15" s="1"/>
  <c r="O32" i="15"/>
  <c r="O35" i="15" s="1"/>
  <c r="M32" i="15"/>
  <c r="L32" i="15"/>
  <c r="P18" i="15"/>
  <c r="P22" i="15" s="1"/>
  <c r="O18" i="15"/>
  <c r="O22" i="15" s="1"/>
  <c r="M18" i="15"/>
  <c r="M22" i="15" s="1"/>
  <c r="L18" i="15"/>
  <c r="L22" i="15" s="1"/>
  <c r="P17" i="15"/>
  <c r="P21" i="15" s="1"/>
  <c r="O17" i="15"/>
  <c r="O21" i="15" s="1"/>
  <c r="M17" i="15"/>
  <c r="L17" i="15"/>
  <c r="Y8" i="15"/>
  <c r="U8" i="15"/>
  <c r="T8" i="15"/>
  <c r="Q8" i="15"/>
  <c r="P8" i="15"/>
  <c r="P11" i="15" s="1"/>
  <c r="O8" i="15"/>
  <c r="O11" i="15" s="1"/>
  <c r="M8" i="15"/>
  <c r="M11" i="15" s="1"/>
  <c r="L8" i="15"/>
  <c r="L11" i="15" s="1"/>
  <c r="P7" i="15"/>
  <c r="P10" i="15" s="1"/>
  <c r="O7" i="15"/>
  <c r="O10" i="15" s="1"/>
  <c r="M7" i="15"/>
  <c r="M10" i="15" s="1"/>
  <c r="L7" i="15"/>
  <c r="L10" i="15" s="1"/>
  <c r="I49" i="24" l="1"/>
  <c r="I48" i="24"/>
  <c r="F53" i="24"/>
  <c r="B13" i="28" s="1"/>
  <c r="Q59" i="15"/>
  <c r="L36" i="15"/>
  <c r="M36" i="15"/>
  <c r="G91" i="15"/>
  <c r="F56" i="18"/>
  <c r="G19" i="18"/>
  <c r="G20" i="18"/>
  <c r="G64" i="18"/>
  <c r="G65" i="18"/>
  <c r="F78" i="18"/>
  <c r="F34" i="18"/>
  <c r="F58" i="18"/>
  <c r="G78" i="18"/>
  <c r="F98" i="18"/>
  <c r="F99" i="18"/>
  <c r="F20" i="18"/>
  <c r="F92" i="18"/>
  <c r="F91" i="18"/>
  <c r="F65" i="18"/>
  <c r="F64" i="18"/>
  <c r="G91" i="18"/>
  <c r="G92" i="18"/>
  <c r="G58" i="18"/>
  <c r="G99" i="18"/>
  <c r="G35" i="18"/>
  <c r="G34" i="18"/>
  <c r="F35" i="18"/>
  <c r="G33" i="18"/>
  <c r="G8" i="18"/>
  <c r="F76" i="18"/>
  <c r="F33" i="18"/>
  <c r="G98" i="18"/>
  <c r="F8" i="18"/>
  <c r="G76" i="18"/>
  <c r="F19" i="18"/>
  <c r="Z20" i="20"/>
  <c r="U36" i="20"/>
  <c r="U35" i="20"/>
  <c r="P57" i="15"/>
  <c r="P59" i="15"/>
  <c r="R57" i="15"/>
  <c r="R59" i="15"/>
  <c r="L21" i="15"/>
  <c r="H59" i="15"/>
  <c r="I57" i="15"/>
  <c r="I59" i="15"/>
  <c r="S57" i="15"/>
  <c r="S59" i="15"/>
  <c r="J57" i="15"/>
  <c r="J59" i="15"/>
  <c r="U57" i="15"/>
  <c r="U59" i="15"/>
  <c r="M21" i="15"/>
  <c r="L57" i="15"/>
  <c r="L59" i="15"/>
  <c r="W57" i="15"/>
  <c r="W59" i="15"/>
  <c r="L35" i="15"/>
  <c r="M35" i="15"/>
  <c r="Y9" i="15"/>
  <c r="Y11" i="15"/>
  <c r="T9" i="15"/>
  <c r="T11" i="15"/>
  <c r="Q9" i="15"/>
  <c r="Q11" i="15"/>
  <c r="U9" i="15"/>
  <c r="U11" i="15"/>
  <c r="P20" i="15"/>
  <c r="P34" i="15"/>
  <c r="G65" i="15"/>
  <c r="T57" i="15"/>
  <c r="O20" i="15"/>
  <c r="O34" i="15"/>
  <c r="Y57" i="15"/>
  <c r="G90" i="15"/>
  <c r="G75" i="15"/>
  <c r="G97" i="15"/>
  <c r="G13" i="15"/>
  <c r="G21" i="15" s="1"/>
  <c r="L20" i="15"/>
  <c r="L34" i="15"/>
  <c r="M9" i="15"/>
  <c r="M20" i="15"/>
  <c r="O9" i="15"/>
  <c r="G53" i="15"/>
  <c r="H57" i="15"/>
  <c r="Q57" i="15"/>
  <c r="P9" i="15"/>
  <c r="M34" i="15"/>
  <c r="G17" i="15"/>
  <c r="G32" i="15"/>
  <c r="G54" i="15"/>
  <c r="G58" i="15" s="1"/>
  <c r="M57" i="15"/>
  <c r="G4" i="15"/>
  <c r="L9" i="15"/>
  <c r="G25" i="15"/>
  <c r="G24" i="15"/>
  <c r="G33" i="15"/>
  <c r="G7" i="15"/>
  <c r="G10" i="15" s="1"/>
  <c r="G18" i="15"/>
  <c r="G8" i="15"/>
  <c r="G19" i="15"/>
  <c r="G55" i="15"/>
  <c r="G59" i="15" l="1"/>
  <c r="G22" i="15"/>
  <c r="G35" i="15"/>
  <c r="G36" i="15"/>
  <c r="G11" i="15"/>
  <c r="G57" i="15"/>
  <c r="G9" i="15"/>
  <c r="G34" i="15"/>
  <c r="G20" i="15"/>
</calcChain>
</file>

<file path=xl/comments1.xml><?xml version="1.0" encoding="utf-8"?>
<comments xmlns="http://schemas.openxmlformats.org/spreadsheetml/2006/main">
  <authors>
    <author>Microsoft Office User</author>
    <author>tc={E70F7EAC-8797-1742-A644-4FBE7D524835}</author>
    <author>tc={4EF18700-1D7A-DC44-82F4-7ADF2C627B17}</author>
    <author>tc={37D5ACAC-C84B-BB43-B2AB-7AD7ED6BA267}</author>
    <author>tc={122F1103-C9D2-9F44-81A3-5E4192D4DC00}</author>
    <author>tc={7EC6008F-3D88-0746-B46B-10BCC3976691}</author>
    <author>tc={86739FFD-72BF-164C-BBB8-A3370A4CA53A}</author>
  </authors>
  <commentList>
    <comment ref="B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1: Sampling point 1
</t>
        </r>
        <r>
          <rPr>
            <sz val="10"/>
            <color rgb="FF000000"/>
            <rFont val="Tahoma"/>
            <family val="2"/>
          </rPr>
          <t xml:space="preserve">2: Sampling point 2
</t>
        </r>
        <r>
          <rPr>
            <sz val="10"/>
            <color rgb="FF000000"/>
            <rFont val="Tahoma"/>
            <family val="2"/>
          </rPr>
          <t xml:space="preserve">3: Sampling point 3
</t>
        </r>
        <r>
          <rPr>
            <sz val="10"/>
            <color rgb="FF000000"/>
            <rFont val="Tahoma"/>
            <family val="2"/>
          </rPr>
          <t xml:space="preserve">4: Sampling point 4
</t>
        </r>
        <r>
          <rPr>
            <sz val="10"/>
            <color rgb="FF000000"/>
            <rFont val="Tahoma"/>
            <family val="2"/>
          </rPr>
          <t xml:space="preserve">5: On Duong Dong River
</t>
        </r>
        <r>
          <rPr>
            <sz val="10"/>
            <color rgb="FF000000"/>
            <rFont val="Tahoma"/>
            <family val="2"/>
          </rPr>
          <t xml:space="preserve">6: Along Dinh Cau
</t>
        </r>
      </text>
    </comment>
    <comment ref="D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1: Sun
</t>
        </r>
        <r>
          <rPr>
            <sz val="10"/>
            <color rgb="FF000000"/>
            <rFont val="Tahoma"/>
            <family val="2"/>
          </rPr>
          <t xml:space="preserve">2: Mon
</t>
        </r>
        <r>
          <rPr>
            <sz val="10"/>
            <color rgb="FF000000"/>
            <rFont val="Tahoma"/>
            <family val="2"/>
          </rPr>
          <t xml:space="preserve">3: Tue
</t>
        </r>
        <r>
          <rPr>
            <sz val="10"/>
            <color rgb="FF000000"/>
            <rFont val="Tahoma"/>
            <family val="2"/>
          </rPr>
          <t xml:space="preserve">4: Wed
</t>
        </r>
        <r>
          <rPr>
            <sz val="10"/>
            <color rgb="FF000000"/>
            <rFont val="Tahoma"/>
            <family val="2"/>
          </rPr>
          <t xml:space="preserve">5:Thu
</t>
        </r>
        <r>
          <rPr>
            <sz val="10"/>
            <color rgb="FF000000"/>
            <rFont val="Tahoma"/>
            <family val="2"/>
          </rPr>
          <t xml:space="preserve">6: Fri
</t>
        </r>
        <r>
          <rPr>
            <sz val="10"/>
            <color rgb="FF000000"/>
            <rFont val="Tahoma"/>
            <family val="2"/>
          </rPr>
          <t>7:Sat</t>
        </r>
      </text>
    </comment>
    <comment ref="E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0: Wholeday sampling
</t>
        </r>
        <r>
          <rPr>
            <sz val="10"/>
            <color rgb="FF000000"/>
            <rFont val="Tahoma"/>
            <family val="2"/>
          </rPr>
          <t xml:space="preserve">1: Morning
</t>
        </r>
        <r>
          <rPr>
            <sz val="10"/>
            <color rgb="FF000000"/>
            <rFont val="Tahoma"/>
            <family val="2"/>
          </rPr>
          <t>2: Afternoon</t>
        </r>
      </text>
    </comment>
    <comment ref="F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0: Before Moon
</t>
        </r>
        <r>
          <rPr>
            <sz val="10"/>
            <color rgb="FF000000"/>
            <rFont val="Tahoma"/>
            <family val="2"/>
          </rPr>
          <t xml:space="preserve">1: Moon
</t>
        </r>
        <r>
          <rPr>
            <sz val="10"/>
            <color rgb="FF000000"/>
            <rFont val="Tahoma"/>
            <family val="2"/>
          </rPr>
          <t>2: After Moon</t>
        </r>
      </text>
    </comment>
    <comment ref="B42"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Rác dọc bờ Dinh Cậu ngày này do Văn Lang tự vớt</t>
        </r>
      </text>
    </comment>
    <comment ref="B5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Rác ngày này do bộ đội biên phòng gom dọc bờ kè Dinh Cậu</t>
        </r>
      </text>
    </comment>
    <comment ref="B64"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Reply:
    Đội túi nilong trắng gom sẵn rác dọc bờ kè</t>
        </r>
      </text>
    </comment>
    <comment ref="O8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 nhựa</t>
        </r>
      </text>
    </comment>
    <comment ref="W8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Thùng nhớt</t>
        </r>
      </text>
    </comment>
    <comment ref="B94"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 the day, waste was gathered along the Dinh Cau sea-wall due to the southern wind. Since we could not collect all waste gathered there, we took waste at one selected point in the morning and in the afternoon, we collected all waste at the first point of along Dinh Cau sea-wall. Thus, when calculating waste there, we must multiply for the long of Dinh Cau sea-wall</t>
        </r>
      </text>
    </comment>
  </commentList>
</comments>
</file>

<file path=xl/comments2.xml><?xml version="1.0" encoding="utf-8"?>
<comments xmlns="http://schemas.openxmlformats.org/spreadsheetml/2006/main">
  <authors>
    <author>Microsoft Office User</author>
    <author>tc={86F159D3-DB3E-3B40-AA15-7727C7B62FE4}</author>
    <author>tc={21C908D5-9C16-5242-AE15-50D6262D122D}</author>
  </authors>
  <commentList>
    <comment ref="A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1: Sampling point 1
</t>
        </r>
        <r>
          <rPr>
            <sz val="10"/>
            <color rgb="FF000000"/>
            <rFont val="Tahoma"/>
            <family val="2"/>
          </rPr>
          <t xml:space="preserve">2: Sampling point 2
</t>
        </r>
        <r>
          <rPr>
            <sz val="10"/>
            <color rgb="FF000000"/>
            <rFont val="Tahoma"/>
            <family val="2"/>
          </rPr>
          <t xml:space="preserve">3: Sampling point 3
</t>
        </r>
        <r>
          <rPr>
            <sz val="10"/>
            <color rgb="FF000000"/>
            <rFont val="Tahoma"/>
            <family val="2"/>
          </rPr>
          <t xml:space="preserve">4: Sampling point 4
</t>
        </r>
        <r>
          <rPr>
            <sz val="10"/>
            <color rgb="FF000000"/>
            <rFont val="Tahoma"/>
            <family val="2"/>
          </rPr>
          <t xml:space="preserve">5: On Duong Dong River
</t>
        </r>
        <r>
          <rPr>
            <sz val="10"/>
            <color rgb="FF000000"/>
            <rFont val="Tahoma"/>
            <family val="2"/>
          </rPr>
          <t xml:space="preserve">6: Along Dinh Cau
</t>
        </r>
      </text>
    </comment>
    <comment ref="C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1: Sun
</t>
        </r>
        <r>
          <rPr>
            <sz val="10"/>
            <color rgb="FF000000"/>
            <rFont val="Tahoma"/>
            <family val="2"/>
          </rPr>
          <t xml:space="preserve">2: Mon
</t>
        </r>
        <r>
          <rPr>
            <sz val="10"/>
            <color rgb="FF000000"/>
            <rFont val="Tahoma"/>
            <family val="2"/>
          </rPr>
          <t xml:space="preserve">3: Tue
</t>
        </r>
        <r>
          <rPr>
            <sz val="10"/>
            <color rgb="FF000000"/>
            <rFont val="Tahoma"/>
            <family val="2"/>
          </rPr>
          <t xml:space="preserve">4: Wed
</t>
        </r>
        <r>
          <rPr>
            <sz val="10"/>
            <color rgb="FF000000"/>
            <rFont val="Tahoma"/>
            <family val="2"/>
          </rPr>
          <t xml:space="preserve">5:Thu
</t>
        </r>
        <r>
          <rPr>
            <sz val="10"/>
            <color rgb="FF000000"/>
            <rFont val="Tahoma"/>
            <family val="2"/>
          </rPr>
          <t xml:space="preserve">6: Fri
</t>
        </r>
        <r>
          <rPr>
            <sz val="10"/>
            <color rgb="FF000000"/>
            <rFont val="Tahoma"/>
            <family val="2"/>
          </rPr>
          <t>7:Sat</t>
        </r>
      </text>
    </comment>
    <comment ref="D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0: Wholeday sampling
</t>
        </r>
        <r>
          <rPr>
            <sz val="10"/>
            <color rgb="FF000000"/>
            <rFont val="Tahoma"/>
            <family val="2"/>
          </rPr>
          <t xml:space="preserve">1: Morning
</t>
        </r>
        <r>
          <rPr>
            <sz val="10"/>
            <color rgb="FF000000"/>
            <rFont val="Tahoma"/>
            <family val="2"/>
          </rPr>
          <t>2: Afternoon</t>
        </r>
      </text>
    </comment>
    <comment ref="E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0: Before Moon
</t>
        </r>
        <r>
          <rPr>
            <sz val="10"/>
            <color rgb="FF000000"/>
            <rFont val="Tahoma"/>
            <family val="2"/>
          </rPr>
          <t xml:space="preserve">1: Moon
</t>
        </r>
        <r>
          <rPr>
            <sz val="10"/>
            <color rgb="FF000000"/>
            <rFont val="Tahoma"/>
            <family val="2"/>
          </rPr>
          <t>2: After Moon</t>
        </r>
      </text>
    </comment>
    <comment ref="O81"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 nhựa</t>
        </r>
      </text>
    </comment>
    <comment ref="W81"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Thùng nhớt</t>
        </r>
      </text>
    </comment>
  </commentList>
</comments>
</file>

<file path=xl/comments3.xml><?xml version="1.0" encoding="utf-8"?>
<comments xmlns="http://schemas.openxmlformats.org/spreadsheetml/2006/main">
  <authors>
    <author>Microsoft Office User</author>
  </authors>
  <commentList>
    <comment ref="A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1: Sampling point 1
</t>
        </r>
        <r>
          <rPr>
            <sz val="10"/>
            <color rgb="FF000000"/>
            <rFont val="Tahoma"/>
            <family val="2"/>
          </rPr>
          <t xml:space="preserve">2: Sampling point 2
</t>
        </r>
        <r>
          <rPr>
            <sz val="10"/>
            <color rgb="FF000000"/>
            <rFont val="Tahoma"/>
            <family val="2"/>
          </rPr>
          <t xml:space="preserve">3: Sampling point 3
</t>
        </r>
        <r>
          <rPr>
            <sz val="10"/>
            <color rgb="FF000000"/>
            <rFont val="Tahoma"/>
            <family val="2"/>
          </rPr>
          <t xml:space="preserve">4: Sampling point 4
</t>
        </r>
        <r>
          <rPr>
            <sz val="10"/>
            <color rgb="FF000000"/>
            <rFont val="Tahoma"/>
            <family val="2"/>
          </rPr>
          <t xml:space="preserve">5: On Duong Dong River
</t>
        </r>
        <r>
          <rPr>
            <sz val="10"/>
            <color rgb="FF000000"/>
            <rFont val="Tahoma"/>
            <family val="2"/>
          </rPr>
          <t xml:space="preserve">6: Along Dinh Cau
</t>
        </r>
      </text>
    </comment>
    <comment ref="C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1: Sun
</t>
        </r>
        <r>
          <rPr>
            <sz val="10"/>
            <color rgb="FF000000"/>
            <rFont val="Tahoma"/>
            <family val="2"/>
          </rPr>
          <t xml:space="preserve">2: Mon
</t>
        </r>
        <r>
          <rPr>
            <sz val="10"/>
            <color rgb="FF000000"/>
            <rFont val="Tahoma"/>
            <family val="2"/>
          </rPr>
          <t xml:space="preserve">3: Tue
</t>
        </r>
        <r>
          <rPr>
            <sz val="10"/>
            <color rgb="FF000000"/>
            <rFont val="Tahoma"/>
            <family val="2"/>
          </rPr>
          <t xml:space="preserve">4: Wed
</t>
        </r>
        <r>
          <rPr>
            <sz val="10"/>
            <color rgb="FF000000"/>
            <rFont val="Tahoma"/>
            <family val="2"/>
          </rPr>
          <t xml:space="preserve">5:Thu
</t>
        </r>
        <r>
          <rPr>
            <sz val="10"/>
            <color rgb="FF000000"/>
            <rFont val="Tahoma"/>
            <family val="2"/>
          </rPr>
          <t xml:space="preserve">6: Fri
</t>
        </r>
        <r>
          <rPr>
            <sz val="10"/>
            <color rgb="FF000000"/>
            <rFont val="Tahoma"/>
            <family val="2"/>
          </rPr>
          <t>7:Sat</t>
        </r>
      </text>
    </comment>
    <comment ref="D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0: Wholeday sampling
</t>
        </r>
        <r>
          <rPr>
            <sz val="10"/>
            <color rgb="FF000000"/>
            <rFont val="Tahoma"/>
            <family val="2"/>
          </rPr>
          <t xml:space="preserve">1: Morning
</t>
        </r>
        <r>
          <rPr>
            <sz val="10"/>
            <color rgb="FF000000"/>
            <rFont val="Tahoma"/>
            <family val="2"/>
          </rPr>
          <t>2: Afternoon</t>
        </r>
      </text>
    </comment>
    <comment ref="E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0: Before Moon
</t>
        </r>
        <r>
          <rPr>
            <sz val="10"/>
            <color rgb="FF000000"/>
            <rFont val="Tahoma"/>
            <family val="2"/>
          </rPr>
          <t xml:space="preserve">1: Moon
</t>
        </r>
        <r>
          <rPr>
            <sz val="10"/>
            <color rgb="FF000000"/>
            <rFont val="Tahoma"/>
            <family val="2"/>
          </rPr>
          <t>2: After Moon</t>
        </r>
      </text>
    </comment>
  </commentList>
</comments>
</file>

<file path=xl/comments4.xml><?xml version="1.0" encoding="utf-8"?>
<comments xmlns="http://schemas.openxmlformats.org/spreadsheetml/2006/main">
  <authors>
    <author>Microsoft Office User</author>
  </authors>
  <commentList>
    <comment ref="A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1: Sampling point 1
</t>
        </r>
        <r>
          <rPr>
            <sz val="10"/>
            <color rgb="FF000000"/>
            <rFont val="Tahoma"/>
            <family val="2"/>
          </rPr>
          <t xml:space="preserve">2: Sampling point 2
</t>
        </r>
        <r>
          <rPr>
            <sz val="10"/>
            <color rgb="FF000000"/>
            <rFont val="Tahoma"/>
            <family val="2"/>
          </rPr>
          <t xml:space="preserve">3: Sampling point 3
</t>
        </r>
        <r>
          <rPr>
            <sz val="10"/>
            <color rgb="FF000000"/>
            <rFont val="Tahoma"/>
            <family val="2"/>
          </rPr>
          <t xml:space="preserve">4: Sampling point 4
</t>
        </r>
        <r>
          <rPr>
            <sz val="10"/>
            <color rgb="FF000000"/>
            <rFont val="Tahoma"/>
            <family val="2"/>
          </rPr>
          <t xml:space="preserve">5: On Duong Dong River
</t>
        </r>
        <r>
          <rPr>
            <sz val="10"/>
            <color rgb="FF000000"/>
            <rFont val="Tahoma"/>
            <family val="2"/>
          </rPr>
          <t xml:space="preserve">6: Along Dinh Cau
</t>
        </r>
      </text>
    </comment>
    <comment ref="C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1: Sun
</t>
        </r>
        <r>
          <rPr>
            <sz val="10"/>
            <color rgb="FF000000"/>
            <rFont val="Tahoma"/>
            <family val="2"/>
          </rPr>
          <t xml:space="preserve">2: Mon
</t>
        </r>
        <r>
          <rPr>
            <sz val="10"/>
            <color rgb="FF000000"/>
            <rFont val="Tahoma"/>
            <family val="2"/>
          </rPr>
          <t xml:space="preserve">3: Tue
</t>
        </r>
        <r>
          <rPr>
            <sz val="10"/>
            <color rgb="FF000000"/>
            <rFont val="Tahoma"/>
            <family val="2"/>
          </rPr>
          <t xml:space="preserve">4: Wed
</t>
        </r>
        <r>
          <rPr>
            <sz val="10"/>
            <color rgb="FF000000"/>
            <rFont val="Tahoma"/>
            <family val="2"/>
          </rPr>
          <t xml:space="preserve">5:Thu
</t>
        </r>
        <r>
          <rPr>
            <sz val="10"/>
            <color rgb="FF000000"/>
            <rFont val="Tahoma"/>
            <family val="2"/>
          </rPr>
          <t xml:space="preserve">6: Fri
</t>
        </r>
        <r>
          <rPr>
            <sz val="10"/>
            <color rgb="FF000000"/>
            <rFont val="Tahoma"/>
            <family val="2"/>
          </rPr>
          <t>7:Sat</t>
        </r>
      </text>
    </comment>
    <comment ref="D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0: Wholeday sampling
</t>
        </r>
        <r>
          <rPr>
            <sz val="10"/>
            <color rgb="FF000000"/>
            <rFont val="Tahoma"/>
            <family val="2"/>
          </rPr>
          <t xml:space="preserve">1: Morning
</t>
        </r>
        <r>
          <rPr>
            <sz val="10"/>
            <color rgb="FF000000"/>
            <rFont val="Tahoma"/>
            <family val="2"/>
          </rPr>
          <t>2: Afternoon</t>
        </r>
      </text>
    </comment>
    <comment ref="E1"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0: Before Moon
</t>
        </r>
        <r>
          <rPr>
            <sz val="10"/>
            <color rgb="FF000000"/>
            <rFont val="Tahoma"/>
            <family val="2"/>
          </rPr>
          <t xml:space="preserve">1: Moon
</t>
        </r>
        <r>
          <rPr>
            <sz val="10"/>
            <color rgb="FF000000"/>
            <rFont val="Tahoma"/>
            <family val="2"/>
          </rPr>
          <t>2: After Moon</t>
        </r>
      </text>
    </comment>
  </commentList>
</comments>
</file>

<file path=xl/comments5.xml><?xml version="1.0" encoding="utf-8"?>
<comments xmlns="http://schemas.openxmlformats.org/spreadsheetml/2006/main">
  <authors>
    <author>tc={17359BC8-D751-0E43-A5EA-E813A0E7FD41}</author>
    <author>tc={5A8D2EF6-F068-8144-B391-AAD8BB16DA8D}</author>
    <author>tc={CEABFF2F-4AAC-6B4A-9E20-F39C3D58E36C}</author>
    <author>tc={813D5D30-A37F-694F-AFC1-944C432B9E24}</author>
    <author>tc={992A3F7E-F375-7A40-8DCF-183F65BD1184}</author>
    <author>tc={E495BAB9-B390-4347-BEF8-47A8128C82BD}</author>
    <author>tc={D4F49D20-25FE-6647-B55B-B12357B36BB5}</author>
    <author>tc={1CAC0296-B531-0B48-9322-079669BE9BE7}</author>
    <author>tc={C6B1D6B5-972C-9B4E-9607-AC59823331FA}</author>
    <author>tc={0EC3E8CC-3659-D143-8465-3DD65F601797}</author>
    <author>tc={FD9DBD37-20F2-174C-959C-B85F512C1DC8}</author>
    <author>tc={AA965868-32F0-7644-A370-76FA436E73D3}</author>
  </authors>
  <commentList>
    <comment ref="P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số liệu ban đầu là 11</t>
        </r>
      </text>
    </comment>
    <comment ref="I9"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Ban đầu là 0.05</t>
        </r>
      </text>
    </comment>
    <comment ref="L10"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số liệu ban đầu là 14.8</t>
        </r>
      </text>
    </comment>
    <comment ref="O1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số liệu ban đầu là 23.7</t>
        </r>
      </text>
    </comment>
    <comment ref="I11"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Ban đầu là 6.98</t>
        </r>
      </text>
    </comment>
    <comment ref="I12"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số liệu ban đầu là 10.05</t>
        </r>
      </text>
    </comment>
    <comment ref="L1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số liệu ban đầu là 16.31
Reply:
    3.99</t>
        </r>
      </text>
    </comment>
    <comment ref="O1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Ban đầu là 4.16</t>
        </r>
      </text>
    </comment>
    <comment ref="R12"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Ban đầu 10.11</t>
        </r>
      </text>
    </comment>
    <comment ref="L13"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Ban đầu là 11.08</t>
        </r>
      </text>
    </comment>
    <comment ref="O13"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Ban đầu là 13.4</t>
        </r>
      </text>
    </comment>
    <comment ref="R16"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số liệu ban đầu là 13.49</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<sst xmlns="http://schemas.openxmlformats.org/spreadsheetml/2006/main" count="1504" uniqueCount="445">
  <si>
    <t>PE</t>
  </si>
  <si>
    <t>PET</t>
  </si>
  <si>
    <t>Soft drink</t>
  </si>
  <si>
    <t>Water bottle</t>
  </si>
  <si>
    <t>Other (cooking oil, etc.)</t>
  </si>
  <si>
    <t>LDPE</t>
  </si>
  <si>
    <t>HDPE</t>
  </si>
  <si>
    <t>PP</t>
  </si>
  <si>
    <t>Bag</t>
  </si>
  <si>
    <t>PS</t>
  </si>
  <si>
    <t>Foam</t>
  </si>
  <si>
    <t>Food wrapping</t>
  </si>
  <si>
    <t>PVC</t>
  </si>
  <si>
    <t>Other</t>
  </si>
  <si>
    <t>Waste</t>
  </si>
  <si>
    <t>Cup, spoon, straw, basin</t>
  </si>
  <si>
    <t>Period</t>
  </si>
  <si>
    <t>Date</t>
  </si>
  <si>
    <t>Snack</t>
  </si>
  <si>
    <t>White bag</t>
  </si>
  <si>
    <t>Shampoo</t>
  </si>
  <si>
    <t>Cosmetic</t>
  </si>
  <si>
    <t>Other LDPE</t>
  </si>
  <si>
    <t>Other PS</t>
  </si>
  <si>
    <t>Other PP (fishing net)</t>
  </si>
  <si>
    <t>This sample was taken by VLU group. Taking floating and suspended waste on Duong Dong river</t>
  </si>
  <si>
    <t>This sample was taken by Ocean military force of Phu Quoc. Waste on the river and along the damp were taken</t>
  </si>
  <si>
    <t>Code</t>
  </si>
  <si>
    <t>Morning</t>
  </si>
  <si>
    <t>Afternoon</t>
  </si>
  <si>
    <t>Location</t>
  </si>
  <si>
    <t>On Duong Dong River</t>
  </si>
  <si>
    <t>Sampling point 1</t>
  </si>
  <si>
    <t>Sampling point 2</t>
  </si>
  <si>
    <t>Sampling point 3</t>
  </si>
  <si>
    <t>Sampling point 4</t>
  </si>
  <si>
    <t>Along Dinh Cau</t>
  </si>
  <si>
    <t>Whole day sampling</t>
  </si>
  <si>
    <t>Week day</t>
  </si>
  <si>
    <t>Weekday</t>
  </si>
  <si>
    <t>Sun</t>
  </si>
  <si>
    <t>Mon</t>
  </si>
  <si>
    <t>Tue</t>
  </si>
  <si>
    <t>Wed</t>
  </si>
  <si>
    <t>Thu</t>
  </si>
  <si>
    <t>Fri</t>
  </si>
  <si>
    <t>Lunar calendar</t>
  </si>
  <si>
    <t>Before moon</t>
  </si>
  <si>
    <t>Moon</t>
  </si>
  <si>
    <t>After moon</t>
  </si>
  <si>
    <t>waste contains mainly coconut shell, sheet, wood, food waste, dead fish</t>
  </si>
  <si>
    <t>mainly coconut shell</t>
  </si>
  <si>
    <t>mainly food waste, paper, coconut shell, wood</t>
  </si>
  <si>
    <t>coconut shell, food waste</t>
  </si>
  <si>
    <t>bewery can</t>
  </si>
  <si>
    <t>PVC is paint can</t>
  </si>
  <si>
    <t>waste contains mainly coconut shell</t>
  </si>
  <si>
    <t>waste contains mainly coconut shell, food remant, wood</t>
  </si>
  <si>
    <t>location 3 did not have waste, this is the waste collected at location 3.5</t>
  </si>
  <si>
    <t>Total waste</t>
  </si>
  <si>
    <t>Total plastic</t>
  </si>
  <si>
    <t>đối chiếu lại xem những số liệu trước của cả dòng sông có bằng với lượng của ngày 1/1/21 không</t>
  </si>
  <si>
    <t>Note</t>
  </si>
  <si>
    <t>Đây là dữ liệu nền, là lượng rác có sẵn trên sông Dương Đông trước khi thực hiện khảo sát</t>
  </si>
  <si>
    <t>Ngày THƯỜNG đầu tiên sau khi làm sạch</t>
  </si>
  <si>
    <t>ngày TRĂNG CUỐI TUẦN</t>
  </si>
  <si>
    <t>ngày TRĂNG THƯỜNG</t>
  </si>
  <si>
    <t>ngày TRĂNG LỄ</t>
  </si>
  <si>
    <t>ngày SAU TRĂNG LỄ</t>
  </si>
  <si>
    <t>ghe</t>
  </si>
  <si>
    <t>nhà hàng</t>
  </si>
  <si>
    <t>sáng</t>
  </si>
  <si>
    <t>chiều</t>
  </si>
  <si>
    <t>morning</t>
  </si>
  <si>
    <t>afternoon</t>
  </si>
  <si>
    <t>total</t>
  </si>
  <si>
    <t>PET_soft</t>
  </si>
  <si>
    <t>LDPR_whitebag</t>
  </si>
  <si>
    <t>PET_other</t>
  </si>
  <si>
    <t>HDPE_shampoo</t>
  </si>
  <si>
    <t>HDPE_cosmetic</t>
  </si>
  <si>
    <t>LDPE_other</t>
  </si>
  <si>
    <t>LDPE_snack</t>
  </si>
  <si>
    <t>PET_water</t>
  </si>
  <si>
    <t>PP_bag</t>
  </si>
  <si>
    <t>PP_cup</t>
  </si>
  <si>
    <t>PP_other</t>
  </si>
  <si>
    <t>PS_foam</t>
  </si>
  <si>
    <t>PS_foodwrap</t>
  </si>
  <si>
    <t>PS_other</t>
  </si>
  <si>
    <t xml:space="preserve">Other </t>
  </si>
  <si>
    <t>Refuse</t>
  </si>
  <si>
    <t>mean</t>
  </si>
  <si>
    <t>SD</t>
  </si>
  <si>
    <t>PET_soft drink</t>
  </si>
  <si>
    <t>PET_water bottle</t>
  </si>
  <si>
    <t>Ratio plastic/total</t>
  </si>
  <si>
    <t>Types of plastic</t>
  </si>
  <si>
    <t>Quantity (kg wet weight/8hrs)</t>
  </si>
  <si>
    <t>Quantity (kg wet weight/period)</t>
  </si>
  <si>
    <t>total plastic</t>
  </si>
  <si>
    <t>Fishing boat</t>
  </si>
  <si>
    <t>ngày này không đếm ghe nên sử dụng giá trị trung bình số lượng ghe ở những ngày trăng</t>
  </si>
  <si>
    <t>median</t>
  </si>
  <si>
    <t>1st quartile</t>
  </si>
  <si>
    <t>3rd quartile</t>
  </si>
  <si>
    <t>Shipping</t>
  </si>
  <si>
    <t>Tourism</t>
  </si>
  <si>
    <t>Sampling_period</t>
  </si>
  <si>
    <t>Fishing_boat</t>
  </si>
  <si>
    <t>Total_waste</t>
  </si>
  <si>
    <t>sa</t>
  </si>
  <si>
    <t>LDPE_white bag</t>
  </si>
  <si>
    <t>HDPE_shampô</t>
  </si>
  <si>
    <t xml:space="preserve">Điểm </t>
  </si>
  <si>
    <t>Tổng lượng rác</t>
  </si>
  <si>
    <t>Tổng rác nhựa</t>
  </si>
  <si>
    <t>Ngày</t>
  </si>
  <si>
    <t>Vị trí trong spss</t>
  </si>
  <si>
    <t xml:space="preserve">Tổng rác còn lại </t>
  </si>
  <si>
    <t>RÁC PHÁT SINH TỪ GHE</t>
  </si>
  <si>
    <t>LƯỢNG RÁC PHÁT SINH TỪ NHÀ HÀNG</t>
  </si>
  <si>
    <t>hộ gia đình</t>
  </si>
  <si>
    <t>%</t>
  </si>
  <si>
    <t>Descriptives</t>
  </si>
  <si>
    <t>Statistic</t>
  </si>
  <si>
    <t>Std. Error</t>
  </si>
  <si>
    <t>Mean</t>
  </si>
  <si>
    <t>95% Confidence Interval for Mean</t>
  </si>
  <si>
    <t>Lower Bound</t>
  </si>
  <si>
    <t>Upper Bound</t>
  </si>
  <si>
    <t>5% Trimmed Mean</t>
  </si>
  <si>
    <t>Median</t>
  </si>
  <si>
    <t>Variance</t>
  </si>
  <si>
    <t>Std. Deviation</t>
  </si>
  <si>
    <t>Minimum</t>
  </si>
  <si>
    <t>Maximum</t>
  </si>
  <si>
    <t>Range</t>
  </si>
  <si>
    <t>Interquartile Range</t>
  </si>
  <si>
    <t>Skewness</t>
  </si>
  <si>
    <t>Kurtosis</t>
  </si>
  <si>
    <t>Percentiles</t>
  </si>
  <si>
    <t>Weighted Average(Definition 1)</t>
  </si>
  <si>
    <t>.</t>
  </si>
  <si>
    <t>Tukey's Hinges</t>
  </si>
  <si>
    <t>Tests of Normality</t>
  </si>
  <si>
    <t>Kolmogorov-Smirnova</t>
  </si>
  <si>
    <t>Shapiro-Wilk</t>
  </si>
  <si>
    <t>df</t>
  </si>
  <si>
    <t>Sig.</t>
  </si>
  <si>
    <t>.200*</t>
  </si>
  <si>
    <t>* This is a lower bound of the true significance.</t>
  </si>
  <si>
    <t>a Lilliefors Significance Correction</t>
  </si>
  <si>
    <t>Sông Dương Đông</t>
  </si>
  <si>
    <t>Kênh Nhiêu Lộc - Thị Nghè</t>
  </si>
  <si>
    <t>Kênh Đôi - Tẻ, Bến Nghé - Tàu Hủ</t>
  </si>
  <si>
    <t>tấn/năm</t>
  </si>
  <si>
    <t>2407 - 3101</t>
  </si>
  <si>
    <t>6330 - 12420</t>
  </si>
  <si>
    <t>663 - 816</t>
  </si>
  <si>
    <t>703 - 1379</t>
  </si>
  <si>
    <t>mean (kg/ngày)</t>
  </si>
  <si>
    <t>SD (kg/ngày)</t>
  </si>
  <si>
    <t>Nhựa</t>
  </si>
  <si>
    <t>Còn lại</t>
  </si>
  <si>
    <t>12/22/20</t>
  </si>
  <si>
    <t>12/23/20</t>
  </si>
  <si>
    <t>12/24/20</t>
  </si>
  <si>
    <t>12/26/20</t>
  </si>
  <si>
    <t>12/27/20</t>
  </si>
  <si>
    <t>12/28/20</t>
  </si>
  <si>
    <t>12/29/20</t>
  </si>
  <si>
    <t>%PET</t>
  </si>
  <si>
    <t>%LDPE</t>
  </si>
  <si>
    <t>%HDPE</t>
  </si>
  <si>
    <t>%PP</t>
  </si>
  <si>
    <t>%PS</t>
  </si>
  <si>
    <t>%plastic</t>
  </si>
  <si>
    <t>%PE</t>
  </si>
  <si>
    <t>%PVC</t>
  </si>
  <si>
    <t>%Waste</t>
  </si>
  <si>
    <t>HHW</t>
  </si>
  <si>
    <t>Restaurant</t>
  </si>
  <si>
    <t>Cargo/fishing ship</t>
  </si>
  <si>
    <t>total waste</t>
  </si>
  <si>
    <t>soft</t>
  </si>
  <si>
    <t>water</t>
  </si>
  <si>
    <t>other</t>
  </si>
  <si>
    <t>snack</t>
  </si>
  <si>
    <t>white bag</t>
  </si>
  <si>
    <t>shampoo</t>
  </si>
  <si>
    <t>cosmetic</t>
  </si>
  <si>
    <t>bag</t>
  </si>
  <si>
    <t>cup</t>
  </si>
  <si>
    <t>foam</t>
  </si>
  <si>
    <t>food wrap</t>
  </si>
  <si>
    <t>HDPE_túi nilong</t>
  </si>
  <si>
    <t>PET_chai nước ngọt</t>
  </si>
  <si>
    <t>PET_chai nước suối</t>
  </si>
  <si>
    <t>LDPE_khác</t>
  </si>
  <si>
    <t>HDPE_dầu gội</t>
  </si>
  <si>
    <t>PP_thìa/ly</t>
  </si>
  <si>
    <t>PP_khác (lưới)</t>
  </si>
  <si>
    <t>PS_xốp</t>
  </si>
  <si>
    <t>PS_khác</t>
  </si>
  <si>
    <t>Nhựa khác</t>
  </si>
  <si>
    <t>Rác còn lại</t>
  </si>
  <si>
    <t>Tổng lượng nhựa</t>
  </si>
  <si>
    <t>Vị trí</t>
  </si>
  <si>
    <t>Thứ</t>
  </si>
  <si>
    <t>Thời gian</t>
  </si>
  <si>
    <t>Lịch âm</t>
  </si>
  <si>
    <t>Tổng chất thải</t>
  </si>
  <si>
    <t>PET_khác</t>
  </si>
  <si>
    <t>LDPE_vỏ gia vị</t>
  </si>
  <si>
    <t>LDPE_túi trắng</t>
  </si>
  <si>
    <t>HDPE_hộp mỹ phẩm</t>
  </si>
  <si>
    <t>PP_bao tải</t>
  </si>
  <si>
    <t>PS_hôp thức ăn</t>
  </si>
  <si>
    <t>weekday</t>
  </si>
  <si>
    <t>period</t>
  </si>
  <si>
    <t>lunar</t>
  </si>
  <si>
    <t>HDPE_shapoo</t>
  </si>
  <si>
    <t>PS_wrap food</t>
  </si>
  <si>
    <t>Other plastic</t>
  </si>
  <si>
    <t>Tổng lượng nhưa</t>
  </si>
  <si>
    <t>Tỉ lệ chất thải nhựa</t>
  </si>
  <si>
    <t>Điểm 1</t>
  </si>
  <si>
    <t>Túi nilong (HDPE)</t>
  </si>
  <si>
    <t>Chai dầu gội (HDPE)i</t>
  </si>
  <si>
    <t>Hộp mỹ phẩm (HDPE)</t>
  </si>
  <si>
    <t>Hộp thức ăn (PS)</t>
  </si>
  <si>
    <t>Mút xốp (PS)</t>
  </si>
  <si>
    <t>Bao tải (PP)</t>
  </si>
  <si>
    <t>Thìa/cốc (PP)</t>
  </si>
  <si>
    <t>Nước ngọt (PET)</t>
  </si>
  <si>
    <t>Nước suối (PET)</t>
  </si>
  <si>
    <t>Sản phẩm PET khác</t>
  </si>
  <si>
    <t>Túi nhựa (LDPE)</t>
  </si>
  <si>
    <t>Vỏ gia vị (LDPE)</t>
  </si>
  <si>
    <t>Chai dầu gội (HDPE)</t>
  </si>
  <si>
    <t>Sản phẩm PP khác</t>
  </si>
  <si>
    <t>Điểm 3</t>
  </si>
  <si>
    <t>Điểm 4</t>
  </si>
  <si>
    <t>Điểm 5</t>
  </si>
  <si>
    <t>Điểm 6</t>
  </si>
  <si>
    <t>Chất thải nhựa</t>
  </si>
  <si>
    <t>Chất thải còn lại</t>
  </si>
  <si>
    <t>Kênh Đôi - Tẻ, Tàu Hủ - Bến Nghé</t>
  </si>
  <si>
    <t>kg/m.năm</t>
  </si>
  <si>
    <t>NA</t>
  </si>
  <si>
    <t>Hỗn hợp chất thải</t>
  </si>
  <si>
    <t>Túi trắng (LDPE)</t>
  </si>
  <si>
    <t>Cốc (PP)</t>
  </si>
  <si>
    <t>Thìa (PP)</t>
  </si>
  <si>
    <t>Lưới cá (PP)</t>
  </si>
  <si>
    <t>Sản phẩm HDPE khác</t>
  </si>
  <si>
    <t>Chất thải</t>
  </si>
  <si>
    <t>Giá trị trung bình</t>
  </si>
  <si>
    <t>Ghe/tàu [39] Sông</t>
  </si>
  <si>
    <t>Chất thải nhựa [24] PS</t>
  </si>
  <si>
    <t>Chất thải nhựa [16] HDPE_nilong</t>
  </si>
  <si>
    <t>Chất thải nhựa [11] PET</t>
  </si>
  <si>
    <t>Chất thải nhựa [9] LDPE</t>
  </si>
  <si>
    <t>Chất thải nhựa [5] PVC</t>
  </si>
  <si>
    <t>Chất thải nhựa [4] HDPE</t>
  </si>
  <si>
    <t>Tỷ lệ CTR thu gom trên sông</t>
  </si>
  <si>
    <t>Tái chế</t>
  </si>
  <si>
    <t>Bãi chôn lấp</t>
  </si>
  <si>
    <t>Tồn đọng</t>
  </si>
  <si>
    <t>Tỷ lệ không được thu gom</t>
  </si>
  <si>
    <t>PET [8] Tái chế</t>
  </si>
  <si>
    <t>PS [6] Tồn đọng</t>
  </si>
  <si>
    <t>PP [4] Tồn đọng</t>
  </si>
  <si>
    <t>PET [3] Tồn đọng</t>
  </si>
  <si>
    <t>HDPE_nilong [4] Tồn đọng</t>
  </si>
  <si>
    <t>LDPE [2] Tồn đọng</t>
  </si>
  <si>
    <t>HDPE [1] Tồn đọng</t>
  </si>
  <si>
    <t>PVC [1] Tồn đọng</t>
  </si>
  <si>
    <t>Chất thải còn lại [30] Tồn đọng</t>
  </si>
  <si>
    <t>PS [17] Bãi chôn lấp</t>
  </si>
  <si>
    <t>PP [12] Bãi chôn lấp</t>
  </si>
  <si>
    <t>HDPE_nilong [12] Bãi chôn lấp</t>
  </si>
  <si>
    <t>LDPE [6] Bãi chôn lấp</t>
  </si>
  <si>
    <t>HDPE [3] Bãi chôn lấp</t>
  </si>
  <si>
    <t>PVC [3] Bãi chôn lấp</t>
  </si>
  <si>
    <t>Chất thải còn lại [86] Bãi chôn lấp</t>
  </si>
  <si>
    <t>Tổng chất thải nhựa trên biển [19] HDPE_túi nilong</t>
  </si>
  <si>
    <t>Tổng chất thải nhựa trên biển [13] PET</t>
  </si>
  <si>
    <t>Tổng chất thải nhựa trên biển [10] LDPE</t>
  </si>
  <si>
    <t>Tổng chất thải nhựa trên biển [4] HDPE</t>
  </si>
  <si>
    <t>Tổng chất thải nhựa trên biển [20] PP</t>
  </si>
  <si>
    <t>Tổng chất thải nhựa trên biển [28] PS</t>
  </si>
  <si>
    <t>Tổng chất thải nhựa trên biển [6] PVC</t>
  </si>
  <si>
    <t>PS [21] Mút xốp</t>
  </si>
  <si>
    <t>PS [7] Hộp thức ăn</t>
  </si>
  <si>
    <t>PP [14] Bao tải</t>
  </si>
  <si>
    <t>PP [3] Sản phẩm PP khác</t>
  </si>
  <si>
    <t>PP [3] Thìa/cốc</t>
  </si>
  <si>
    <t>PET [9] Nước ngọt</t>
  </si>
  <si>
    <t>PET [4] Nước suối</t>
  </si>
  <si>
    <t>LDPE [6] Túi nhựa</t>
  </si>
  <si>
    <t>LDPE [4] Vỏ gia vị</t>
  </si>
  <si>
    <t>HDPE [3] Chai dầu gội</t>
  </si>
  <si>
    <t>HDPE [1] Hộp mỹ phẩm</t>
  </si>
  <si>
    <t>tái chế</t>
  </si>
  <si>
    <t>tồn đông</t>
  </si>
  <si>
    <t>bãi chôn lấp</t>
  </si>
  <si>
    <t>Chợ và nhà hàng [8] Sông</t>
  </si>
  <si>
    <t>Hộ gia đình [153] Sông</t>
  </si>
  <si>
    <t>Sông [85] Chất thải nhựa</t>
  </si>
  <si>
    <t>Sông [115] Chất thải còn lại</t>
  </si>
  <si>
    <t>Chất thải nhựa [17] PP</t>
  </si>
  <si>
    <t>Code lưu đồ</t>
  </si>
  <si>
    <t>Điểm khảo sát</t>
  </si>
  <si>
    <t>Tổng chất thải (kg/4 giờ)</t>
  </si>
  <si>
    <t>Tỷ lê</t>
  </si>
  <si>
    <t>Chât thải nhựa (kg/4 giờ)</t>
  </si>
  <si>
    <t>Tỷ lệ</t>
  </si>
  <si>
    <t>Điểm 1 - hộ dân</t>
  </si>
  <si>
    <t>Điểm 2 - Chân cầu Nguyễn Trung Trực</t>
  </si>
  <si>
    <t>Điểm 3&amp;4 - Hộ dân</t>
  </si>
  <si>
    <t>Trung vị</t>
  </si>
  <si>
    <t>Tứ phân vị 1</t>
  </si>
  <si>
    <t>Tứ phân vị 3</t>
  </si>
  <si>
    <t>Điểm 5 - Hộ dân</t>
  </si>
  <si>
    <t>Dinh Cau</t>
  </si>
  <si>
    <t>Tỷ lệ CTR</t>
  </si>
  <si>
    <t>Chất thải nhựa (kg/4 giờ)</t>
  </si>
  <si>
    <t>Tỷ lệ nhựa</t>
  </si>
  <si>
    <t>Điểm 2</t>
  </si>
  <si>
    <t>Điểm 3&amp;4</t>
  </si>
  <si>
    <t>Dinh Cậu</t>
  </si>
  <si>
    <t>Tổng</t>
  </si>
  <si>
    <t>24-26/12/20</t>
  </si>
  <si>
    <t>26-27/12/20</t>
  </si>
  <si>
    <t>PP_khác</t>
  </si>
  <si>
    <t>PP_thìa/cốc</t>
  </si>
  <si>
    <t>PS_hộp thức ăn</t>
  </si>
  <si>
    <t>PET_nước ngọt</t>
  </si>
  <si>
    <t>PET_nước</t>
  </si>
  <si>
    <t>Trung bình</t>
  </si>
  <si>
    <t>Tổng CTR ngày thường</t>
  </si>
  <si>
    <t>Tổng CTR ngày lễ và ảnh hưởng của gió</t>
  </si>
  <si>
    <t>General parameters</t>
  </si>
  <si>
    <t>Description</t>
  </si>
  <si>
    <t>Unit</t>
  </si>
  <si>
    <t>Value</t>
  </si>
  <si>
    <t>Information</t>
  </si>
  <si>
    <t>Total population along Duong Dong River Bank</t>
  </si>
  <si>
    <t>this considers only household living along the rever and cargo/ship on the rever during survey</t>
  </si>
  <si>
    <t>Inhabitants</t>
  </si>
  <si>
    <t>Site survey and estimation</t>
  </si>
  <si>
    <t>Số hộ gia đình ven sông: 80 hộ (khảo sát)/bờ * 2 bờ sông
Số người/hộ: 4 người/hộ
Số ghe/tàu neo đậu trên sông: 366 ghe/tàu
Số người giữ ghe/tàu: 5 người/ghe(tàu)
Hệ số an toàn: 1,2</t>
  </si>
  <si>
    <t>Per capita waste generation</t>
  </si>
  <si>
    <t>how much MSW per person is produced per day?</t>
  </si>
  <si>
    <t>kg/day</t>
  </si>
  <si>
    <t>USAID, 2018</t>
  </si>
  <si>
    <t>Plastic fraction</t>
  </si>
  <si>
    <t>Khi tính toán phải cộng 2.6 tấn nhựa từ hoạt động du lịch</t>
  </si>
  <si>
    <t>SWM system parameters</t>
  </si>
  <si>
    <t>Collection coverage</t>
  </si>
  <si>
    <t>population with access to service</t>
  </si>
  <si>
    <t>% of population</t>
  </si>
  <si>
    <t xml:space="preserve">Collection efficiency </t>
  </si>
  <si>
    <t>quantity collected per generated</t>
  </si>
  <si>
    <t>% of plastic waste of covered population</t>
  </si>
  <si>
    <t>Additional collection by informal system</t>
  </si>
  <si>
    <t>% of total plastic waste</t>
  </si>
  <si>
    <t>Waste treatment parameters</t>
  </si>
  <si>
    <t>At source recycling and reuse</t>
  </si>
  <si>
    <t>plastic collected at source by scavenger per total plasti generated</t>
  </si>
  <si>
    <t>Collected waste entering treatment</t>
  </si>
  <si>
    <t>treated plastic per generated</t>
  </si>
  <si>
    <t>% of formally and informally collected plastic waste</t>
  </si>
  <si>
    <t>Total plastic waste production</t>
  </si>
  <si>
    <t>Formal collection of plastic waste</t>
  </si>
  <si>
    <t>Recycling of plastic waste</t>
  </si>
  <si>
    <t>Transportation of plastic between treatment and landfill</t>
  </si>
  <si>
    <t>Formal recycling</t>
  </si>
  <si>
    <t>% of collected plastic waste entering treatment</t>
  </si>
  <si>
    <t>USAID, 2019, Kien Giang Environmental Report</t>
  </si>
  <si>
    <t>Formal RDF/energy use</t>
  </si>
  <si>
    <t>USAID, 2020, Kien Giang Environmental Report</t>
  </si>
  <si>
    <t>Reuse and recycling at source</t>
  </si>
  <si>
    <t>Informal collection of plastic waste</t>
  </si>
  <si>
    <t>Energy recovery and RDF of plastic waste</t>
  </si>
  <si>
    <t>Landfilling of plastic waste</t>
  </si>
  <si>
    <t>Informal recycling</t>
  </si>
  <si>
    <t>% of informally collected plastic waste</t>
  </si>
  <si>
    <t>USAID, 2021, Kien Giang Environmental Report</t>
  </si>
  <si>
    <t>Transmission factor</t>
  </si>
  <si>
    <t>Comment</t>
  </si>
  <si>
    <t>Uncollected plastic waste burned (no leakage)</t>
  </si>
  <si>
    <t>% of uncollected plastic waste</t>
  </si>
  <si>
    <t>Waste flow diagram</t>
  </si>
  <si>
    <t>Uncollected plastic waste burried or openly dumped (no leakage)</t>
  </si>
  <si>
    <t>sử dụng số liệu của Sidoarjo và Annaba, để đảm bảo an toàn, thông số nào dẫn đến phát thải nhựa tra sông cao hơn sẽ được chọn</t>
  </si>
  <si>
    <t>Total uncollected plastic waste</t>
  </si>
  <si>
    <t>Total plastic waste entering waterways</t>
  </si>
  <si>
    <t>Total marine plastic litter</t>
  </si>
  <si>
    <t>Uncollected plastic waste with other treatment (no leakage)</t>
  </si>
  <si>
    <t>% of uncollected plastic
waste</t>
  </si>
  <si>
    <t>Kien Giang Environmental Report</t>
  </si>
  <si>
    <t>Uncollected plastic disposed of close to waterways</t>
  </si>
  <si>
    <t>No data</t>
  </si>
  <si>
    <t>Percentage of potential leakage of uncollected plastic waste close to waterways</t>
  </si>
  <si>
    <t xml:space="preserve">% of uncollected plastic
waste close to waterways </t>
  </si>
  <si>
    <t>Pascal Renaud, 2018 (Annaba)</t>
  </si>
  <si>
    <t>Uncollected plastic waste bunred (no leakage)</t>
  </si>
  <si>
    <t>Uncollect plastic waster burned or dumped close to waterways</t>
  </si>
  <si>
    <t>Uncollected plastic waste entering waterwaysnfrom wild dumpsites</t>
  </si>
  <si>
    <t>Plastic waste leakage into waterways during collection</t>
  </si>
  <si>
    <t>Direct beach&amp; coastal littering</t>
  </si>
  <si>
    <t>Uncollected plastic waste directly entering waterways</t>
  </si>
  <si>
    <t>Site survey and semi-interview, Waste flow diagram</t>
  </si>
  <si>
    <t>=(6/14*100)</t>
  </si>
  <si>
    <t>Leakage of plastic waste into waterways through the wastewater system</t>
  </si>
  <si>
    <t>% of total plastic waste
(additional)</t>
  </si>
  <si>
    <t>Pascal Renaud, 2018
(Sidoarjo, Annaba)</t>
  </si>
  <si>
    <t>Uncollected plastic waste directly entering drainage system</t>
  </si>
  <si>
    <t>Uncollected plastic waste burried or dumped (no leakage)</t>
  </si>
  <si>
    <t>Uncollected waste entering the drainage system</t>
  </si>
  <si>
    <t>Uncollected plastic waste entering waterways through drainage system</t>
  </si>
  <si>
    <t>Plastic waste leakage into waterways during recycling, enery recovery and RDF</t>
  </si>
  <si>
    <t>Retention factor: technical and
natural barriers in waterways</t>
  </si>
  <si>
    <t>Plastic waste in drainage system entering waterways</t>
  </si>
  <si>
    <t>% of plastic waste entering
the drainage system</t>
  </si>
  <si>
    <t>% of collected plastic waste</t>
  </si>
  <si>
    <t>% of collected plastic waste
entering treatment</t>
  </si>
  <si>
    <t>Pascal Renaud, 2018 (Sidoarjo)</t>
  </si>
  <si>
    <t>Plastic waste leakage into
waterways during transport</t>
  </si>
  <si>
    <t>% of plastic waste transported from treatment to landfill</t>
  </si>
  <si>
    <t>Uncollected plastic waste directl dumped into waterways</t>
  </si>
  <si>
    <t>Additional entery of plastic waste into water ways through wastewater system</t>
  </si>
  <si>
    <t>Retention factor: sedimentation
of plastic waste in waterways</t>
  </si>
  <si>
    <t>Plastic waste leakage into
waterways during landfilling</t>
  </si>
  <si>
    <t>% of landfilled plastic waste</t>
  </si>
  <si>
    <t>% of plastic waste in waterways</t>
  </si>
  <si>
    <t>Retention factor: degradation of plastic waste in waterways</t>
  </si>
  <si>
    <t>kg/ngày</t>
  </si>
  <si>
    <t>Not avaiable</t>
  </si>
  <si>
    <t>Lượng chất thải nhựa bị thu gom bởi BQL CTCC</t>
  </si>
  <si>
    <t>khảo sát hiện trường</t>
  </si>
  <si>
    <t>Retention factor: lượng CT nhựa bị thu gom bởi BQL CTCC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</si>
</sst>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yyyy\-mm\-dd;@"/>
    <numFmt numFmtId="165" formatCode="[$]m/d/yy;@" x16r2:formatCode16="[$-en-VN,1]m/d/yy;@"/>
    <numFmt numFmtId="166" formatCode="0.000"/>
    <numFmt numFmtId="167" formatCode="0.0"/>
    <numFmt numFmtId="168" formatCode="[$]m/d/yy;@"/>
    <numFmt numFmtId="169" formatCode="0.0%"/>
    <numFmt numFmtId="170" formatCode="0.0000"/>
  </numFmts>
  <fonts count="15"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sz val="10"/>
      <color rgb="FF000000"/>
      <name val="Tahoma"/>
      <family val="2"/>
    </font>
    <font>
      <b/>
      <sz val="10"/>
      <color rgb="FF000000"/>
      <name val="Tahoma"/>
      <family val="2"/>
    </font>
    <font>
      <sz val="11"/>
      <color rgb="FF000000"/>
      <name val="Calibri"/>
      <family val="2"/>
      <scheme val="minor"/>
    </font>
    <font>
      <sz val="11"/>
      <color theme="1"/>
      <name val="Calibri"/>
      <family val="2"/>
      <scheme val="minor"/>
    </font>
    <font>
      <b/>
      <sz val="11"/>
      <color rgb="FF000000"/>
      <name val="Calibri"/>
      <family val="2"/>
      <scheme val="minor"/>
    </font>
    <font>
      <sz val="11"/>
      <color rgb="FF000000"/>
      <name val="Calibri"/>
      <family val="2"/>
    </font>
    <font>
      <i/>
      <sz val="11"/>
      <color rgb="FF000000"/>
      <name val="Calibri"/>
      <family val="2"/>
    </font>
    <font>
      <sz val="12"/>
      <color rgb="FFFF0000"/>
      <name val="Calibri"/>
      <family val="2"/>
      <scheme val="minor"/>
    </font>
    <font>
      <b/>
      <sz val="12"/>
      <color theme="1"/>
      <name val="Calibri"/>
      <family val="2"/>
      <scheme val="minor"/>
    </font>
    <font>
      <sz val="12"/>
      <name val="Calibri"/>
      <family val="2"/>
      <scheme val="minor"/>
    </font>
    <font>
      <sz val="12"/>
      <color theme="7"/>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2CC"/>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69">
    <xf numFmtId="0" fontId="0" fillId="0" borderId="0" xfId="0"/>
    <xf numFmtId="0" fontId="0" fillId="0" borderId="0" xfId="0" quotePrefix="1"/>
    <xf numFmtId="0" fontId="1" fillId="0" borderId="0" xfId="0" quotePrefix="1" applyFont="1"/>
    <xf numFmtId="2" fontId="0" fillId="0" borderId="0" xfId="0" applyNumberFormat="1"/>
    <xf numFmtId="2" fontId="0" fillId="0" borderId="0" xfId="0" quotePrefix="1" applyNumberFormat="1"/>
    <xf numFmtId="2" fontId="2" fillId="0" borderId="0" xfId="0" applyNumberFormat="1" applyFont="1"/>
    <xf numFmtId="1" fontId="0" fillId="0" borderId="0" xfId="0" applyNumberFormat="1"/>
    <xf numFmtId="0" fontId="3" fillId="0" borderId="0" xfId="0" applyFont="1"/>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165"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2" borderId="0" xfId="0" applyFill="1"/>
    <xf numFmtId="1" fontId="0" fillId="2" borderId="0" xfId="0" applyNumberFormat="1" applyFill="1"/>
    <xf numFmtId="2" fontId="0" fillId="2" borderId="0" xfId="0" applyNumberFormat="1" applyFill="1"/>
    <xf numFmtId="0" fontId="0" fillId="3" borderId="0" xfId="0" applyFill="1"/>
    <xf numFmtId="165" fontId="0" fillId="3" borderId="0" xfId="0" applyNumberFormat="1" applyFill="1"/>
    <xf numFmtId="1" fontId="0" fillId="3" borderId="0" xfId="0" applyNumberFormat="1" applyFill="1"/>
    <xf numFmtId="2" fontId="0" fillId="3" borderId="0" xfId="0" applyNumberFormat="1" applyFill="1"/>
    <xf numFmtId="2" fontId="0" fillId="3" borderId="0" xfId="0" quotePrefix="1" applyNumberFormat="1" applyFill="1"/>
    <xf numFmtId="0" fontId="0" fillId="4" borderId="0" xfId="0" applyFill="1"/>
    <xf numFmtId="165" fontId="0" fillId="4" borderId="0" xfId="0" applyNumberFormat="1" applyFill="1"/>
    <xf numFmtId="1" fontId="0" fillId="4" borderId="0" xfId="0" applyNumberFormat="1" applyFill="1"/>
    <xf numFmtId="2" fontId="0" fillId="4" borderId="0" xfId="0" applyNumberFormat="1" applyFill="1"/>
    <xf numFmtId="2" fontId="0" fillId="4" borderId="0" xfId="0" quotePrefix="1" applyNumberFormat="1" applyFill="1"/>
    <xf numFmtId="0" fontId="0" fillId="5" borderId="0" xfId="0" applyFill="1"/>
    <xf numFmtId="165" fontId="0" fillId="5" borderId="0" xfId="0" applyNumberFormat="1" applyFill="1"/>
    <xf numFmtId="1" fontId="0" fillId="5" borderId="0" xfId="0" applyNumberFormat="1" applyFill="1"/>
    <xf numFmtId="2" fontId="0" fillId="5" borderId="0" xfId="0" applyNumberFormat="1" applyFill="1"/>
    <xf numFmtId="2" fontId="0" fillId="5" borderId="0" xfId="0" quotePrefix="1" applyNumberFormat="1" applyFill="1"/>
    <xf numFmtId="0" fontId="0" fillId="6" borderId="0" xfId="0" applyFill="1"/>
    <xf numFmtId="165" fontId="0" fillId="6" borderId="0" xfId="0" applyNumberFormat="1" applyFill="1"/>
    <xf numFmtId="1" fontId="0" fillId="6" borderId="0" xfId="0" applyNumberFormat="1" applyFill="1"/>
    <xf numFmtId="2" fontId="0" fillId="6" borderId="0" xfId="0" applyNumberFormat="1" applyFill="1"/>
    <xf numFmtId="2" fontId="0" fillId="6" borderId="0" xfId="0" quotePrefix="1" applyNumberFormat="1" applyFill="1"/>
    <xf numFmtId="0" fontId="0" fillId="7" borderId="0" xfId="0" applyFill="1"/>
    <xf numFmtId="165" fontId="0" fillId="7" borderId="0" xfId="0" applyNumberFormat="1" applyFill="1"/>
    <xf numFmtId="1" fontId="0" fillId="7" borderId="0" xfId="0" applyNumberFormat="1" applyFill="1"/>
    <xf numFmtId="2" fontId="0" fillId="7" borderId="0" xfId="0" applyNumberFormat="1" applyFill="1"/>
    <xf numFmtId="2" fontId="0" fillId="7" borderId="0" xfId="0" quotePrefix="1" applyNumberFormat="1" applyFill="1"/>
    <xf numFmtId="2" fontId="1" fillId="2" borderId="0" xfId="0" applyNumberFormat="1" applyFont="1" applyFill="1"/>
    <xf numFmtId="0" fontId="0" fillId="0" borderId="0" xfId="0" applyFill="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14" fontId="0" fillId="0" borderId="0" xfId="0" applyNumberFormat="1"/>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applyAlignment="1">
      <alignment horizontal="center" vertical="center"/>
    </xf>
    <xf numFmtId="165" fontId="0" fillId="0" borderId="0" xfId="0" applyNumberFormat="1" applyFont="1" applyAlignment="1">
      <alignment horizontal="center" vertical="center"/>
    </xf>
    <xf numFmtId="164" fontId="0" fillId="0" borderId="0" xfId="0" applyNumberFormat="1" applyFont="1" applyAlignment="1">
      <alignment horizontal="center" vertical="center"/>
    </xf>
    <xf numFmtId="2" fontId="6" fillId="0" borderId="0" xfId="0" applyNumberFormat="1" applyFont="1"/>
    <xf numFmtId="0" fontId="1" fillId="2" borderId="0" xfId="0" applyFont="1" applyFill="1" applyAlignment="1">
      <alignment horizontal="center" vertical="center"/>
    </xf>
    <xf numFmtId="0" fontId="1" fillId="2" borderId="0" xfId="0" applyFont="1" applyFill="1"/>
    <xf numFmtId="1" fontId="0" fillId="0" borderId="0" xfId="0" applyNumberFormat="1" applyFont="1" applyAlignment="1">
      <alignment horizontal="center" vertical="center"/>
    </xf>
    <xf numFmtId="1" fontId="0" fillId="0" borderId="0" xfId="0" applyNumberFormat="1" applyFill="1"/>
    <xf numFmtId="1" fontId="6" fillId="0" borderId="0" xfId="0" applyNumberFormat="1" applyFont="1"/>
    <xf numFmtId="0" fontId="0" fillId="0" borderId="0" xfId="0" applyAlignment="1">
      <alignment horizontal="center"/>
    </xf>
    <xf numFmtId="0" fontId="1" fillId="0" borderId="0" xfId="0" applyFont="1" applyAlignment="1">
      <alignment horizontal="center"/>
    </xf>
    <xf numFmtId="2" fontId="0" fillId="0" borderId="0" xfId="0" applyNumberFormat="1" applyAlignment="1">
      <alignment horizontal="center"/>
    </xf>
    <xf numFmtId="1" fontId="1" fillId="2" borderId="0" xfId="0" applyNumberFormat="1" applyFont="1" applyFill="1"/>
    <xf numFmtId="0" fontId="1" fillId="2" borderId="0" xfId="0" applyFont="1" applyFill="1" applyAlignment="1">
      <alignment horizontal="center" vertical="center" wrapText="1"/>
    </xf>
    <xf numFmtId="0" fontId="1" fillId="2" borderId="0" xfId="0" quotePrefix="1" applyFont="1" applyFill="1"/>
    <xf numFmtId="2" fontId="1" fillId="2" borderId="0" xfId="0" quotePrefix="1" applyNumberFormat="1" applyFont="1" applyFill="1"/>
    <xf numFmtId="166" fontId="1" fillId="2" borderId="0" xfId="0" applyNumberFormat="1" applyFont="1" applyFill="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quotePrefix="1" applyAlignment="1"/>
    <xf numFmtId="0" fontId="0" fillId="0" borderId="0" xfId="0" applyAlignment="1"/>
    <xf numFmtId="0" fontId="1" fillId="8" borderId="1" xfId="0" applyFont="1" applyFill="1" applyBorder="1"/>
    <xf numFmtId="2" fontId="0" fillId="8" borderId="1" xfId="0" applyNumberFormat="1" applyFill="1" applyBorder="1"/>
    <xf numFmtId="0" fontId="0" fillId="8" borderId="1" xfId="0" applyFill="1" applyBorder="1"/>
    <xf numFmtId="167" fontId="0" fillId="8" borderId="1" xfId="0" applyNumberFormat="1" applyFill="1" applyBorder="1"/>
    <xf numFmtId="0" fontId="0" fillId="0" borderId="0" xfId="0" applyAlignment="1">
      <alignment horizontal="center" vertical="center"/>
    </xf>
    <xf numFmtId="0" fontId="0" fillId="0" borderId="0" xfId="0" applyAlignment="1">
      <alignment horizontal="center" vertical="center" wrapText="1"/>
    </xf>
    <xf numFmtId="0" fontId="0" fillId="8" borderId="0" xfId="0" applyFill="1"/>
    <xf numFmtId="167" fontId="0" fillId="8" borderId="0" xfId="0" applyNumberFormat="1" applyFill="1"/>
    <xf numFmtId="0" fontId="0" fillId="8" borderId="1" xfId="0" applyFill="1" applyBorder="1" applyAlignment="1"/>
    <xf numFmtId="167" fontId="0" fillId="0" borderId="0" xfId="0" applyNumberFormat="1"/>
    <xf numFmtId="1" fontId="0" fillId="8" borderId="1" xfId="0" applyNumberFormat="1" applyFill="1" applyBorder="1"/>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8" fillId="9" borderId="0" xfId="0" applyFont="1" applyFill="1"/>
    <xf numFmtId="168" fontId="6" fillId="0" borderId="0" xfId="0" applyNumberFormat="1" applyFont="1"/>
    <xf numFmtId="1" fontId="8" fillId="9" borderId="0" xfId="0" applyNumberFormat="1" applyFont="1" applyFill="1"/>
    <xf numFmtId="2" fontId="8" fillId="9" borderId="0" xfId="0" applyNumberFormat="1" applyFont="1" applyFill="1"/>
    <xf numFmtId="169" fontId="0" fillId="0" borderId="0" xfId="1" applyNumberFormat="1" applyFont="1"/>
    <xf numFmtId="169" fontId="0" fillId="0" borderId="0" xfId="0" applyNumberFormat="1"/>
    <xf numFmtId="2" fontId="0" fillId="0" borderId="0" xfId="0" applyNumberFormat="1" applyAlignment="1"/>
    <xf numFmtId="2" fontId="1" fillId="0" borderId="0" xfId="0" applyNumberFormat="1" applyFont="1" applyFill="1"/>
    <xf numFmtId="2" fontId="0" fillId="0" borderId="0" xfId="0" applyNumberFormat="1" applyAlignment="1">
      <alignment horizontal="center"/>
    </xf>
    <xf numFmtId="0" fontId="0" fillId="0" borderId="0" xfId="0" applyAlignment="1">
      <alignment horizontal="center"/>
    </xf>
    <xf numFmtId="14" fontId="0" fillId="8" borderId="0" xfId="0" applyNumberFormat="1" applyFill="1"/>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1" fillId="0" borderId="0" xfId="0" applyFont="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xf numFmtId="0" fontId="9" fillId="0" borderId="0" xfId="0" applyFont="1" applyBorder="1" applyAlignment="1">
      <alignment vertical="center"/>
    </xf>
    <xf numFmtId="0" fontId="9" fillId="0" borderId="0" xfId="0" applyFont="1" applyBorder="1" applyAlignment="1">
      <alignment horizontal="justify" vertical="center"/>
    </xf>
    <xf numFmtId="0" fontId="0" fillId="0" borderId="0" xfId="0" applyBorder="1" applyAlignment="1"/>
    <xf numFmtId="2" fontId="6" fillId="2" borderId="0" xfId="0" applyNumberFormat="1" applyFont="1" applyFill="1"/>
    <xf numFmtId="0" fontId="0" fillId="8" borderId="1" xfId="0" applyFill="1" applyBorder="1" applyAlignment="1">
      <alignment horizontal="center"/>
    </xf>
    <xf numFmtId="0" fontId="0" fillId="0" borderId="0" xfId="0" applyAlignment="1">
      <alignment horizontal="left" vertical="center" wrapText="1"/>
    </xf>
    <xf numFmtId="170" fontId="0" fillId="0" borderId="0" xfId="0" applyNumberFormat="1"/>
    <xf numFmtId="167" fontId="0" fillId="2" borderId="0" xfId="0" applyNumberFormat="1" applyFill="1"/>
    <xf numFmtId="0" fontId="12" fillId="2" borderId="1" xfId="0" applyFont="1" applyFill="1" applyBorder="1" applyAlignment="1">
      <alignment wrapText="1"/>
    </xf>
    <xf numFmtId="0" fontId="12" fillId="2" borderId="1" xfId="0" applyFont="1" applyFill="1" applyBorder="1"/>
    <xf numFmtId="0" fontId="0" fillId="0" borderId="0" xfId="0" applyAlignment="1">
      <alignment wrapText="1"/>
    </xf>
    <xf numFmtId="0" fontId="0" fillId="0" borderId="1" xfId="0" applyBorder="1" applyAlignment="1">
      <alignment wrapText="1"/>
    </xf>
    <xf numFmtId="0" fontId="0" fillId="0" borderId="1" xfId="0" applyBorder="1"/>
    <xf numFmtId="1" fontId="0" fillId="0" borderId="1" xfId="0" applyNumberFormat="1" applyBorder="1"/>
    <xf numFmtId="0" fontId="0" fillId="2" borderId="1" xfId="0" applyFill="1" applyBorder="1" applyAlignment="1">
      <alignment wrapText="1"/>
    </xf>
    <xf numFmtId="0" fontId="0" fillId="2" borderId="1" xfId="0" applyFill="1" applyBorder="1"/>
    <xf numFmtId="1" fontId="0" fillId="10" borderId="0" xfId="0" applyNumberFormat="1" applyFill="1" applyAlignment="1">
      <alignment wrapText="1"/>
    </xf>
    <xf numFmtId="0" fontId="0" fillId="11" borderId="0" xfId="0" applyFill="1" applyAlignment="1">
      <alignment wrapText="1"/>
    </xf>
    <xf numFmtId="0" fontId="0" fillId="8" borderId="0" xfId="0" applyFill="1" applyAlignment="1">
      <alignment wrapText="1"/>
    </xf>
    <xf numFmtId="1" fontId="0" fillId="11" borderId="0" xfId="0" applyNumberFormat="1" applyFill="1" applyAlignment="1">
      <alignment wrapText="1"/>
    </xf>
    <xf numFmtId="1" fontId="0" fillId="8" borderId="0" xfId="0" applyNumberFormat="1" applyFill="1" applyAlignment="1">
      <alignment wrapText="1"/>
    </xf>
    <xf numFmtId="0" fontId="0" fillId="12" borderId="0" xfId="0" applyFill="1" applyAlignment="1">
      <alignment horizontal="center" vertical="center" wrapText="1"/>
    </xf>
    <xf numFmtId="1" fontId="0" fillId="12" borderId="0" xfId="0" applyNumberFormat="1" applyFill="1" applyAlignment="1">
      <alignment wrapText="1"/>
    </xf>
    <xf numFmtId="0" fontId="11" fillId="0" borderId="1" xfId="0" applyFont="1" applyBorder="1" applyAlignment="1">
      <alignment wrapText="1"/>
    </xf>
    <xf numFmtId="0" fontId="11" fillId="0" borderId="1" xfId="0" applyFont="1" applyBorder="1"/>
    <xf numFmtId="0" fontId="0" fillId="14" borderId="0" xfId="0" applyFill="1" applyAlignment="1">
      <alignment wrapText="1"/>
    </xf>
    <xf numFmtId="0" fontId="14" fillId="0" borderId="1" xfId="0" applyFont="1" applyBorder="1" applyAlignment="1">
      <alignment wrapText="1"/>
    </xf>
    <xf numFmtId="0" fontId="14" fillId="0" borderId="1" xfId="0" applyFont="1" applyBorder="1"/>
    <xf numFmtId="1" fontId="0" fillId="14" borderId="0" xfId="0" applyNumberFormat="1" applyFill="1" applyAlignment="1">
      <alignment wrapText="1"/>
    </xf>
    <xf numFmtId="1" fontId="14" fillId="0" borderId="1" xfId="0" applyNumberFormat="1" applyFont="1" applyBorder="1"/>
    <xf numFmtId="0" fontId="0" fillId="5" borderId="0" xfId="0" applyFill="1" applyAlignment="1">
      <alignment wrapText="1"/>
    </xf>
    <xf numFmtId="0" fontId="0" fillId="6" borderId="0" xfId="0" applyFill="1" applyAlignment="1">
      <alignment wrapText="1"/>
    </xf>
    <xf numFmtId="0" fontId="0" fillId="13" borderId="0" xfId="0" applyFill="1" applyAlignment="1">
      <alignment wrapText="1"/>
    </xf>
    <xf numFmtId="0" fontId="0" fillId="10" borderId="0" xfId="0" applyFill="1" applyAlignment="1">
      <alignment wrapText="1"/>
    </xf>
    <xf numFmtId="0" fontId="0" fillId="15" borderId="0" xfId="0" applyFill="1" applyAlignment="1">
      <alignment wrapText="1"/>
    </xf>
    <xf numFmtId="1" fontId="11" fillId="0" borderId="1" xfId="0" applyNumberFormat="1" applyFont="1" applyBorder="1"/>
    <xf numFmtId="0" fontId="0" fillId="0" borderId="0" xfId="0" quotePrefix="1" applyAlignment="1">
      <alignment wrapText="1"/>
    </xf>
    <xf numFmtId="1" fontId="0" fillId="5" borderId="0" xfId="0" applyNumberFormat="1" applyFill="1" applyAlignment="1">
      <alignment wrapText="1"/>
    </xf>
    <xf numFmtId="1" fontId="0" fillId="6" borderId="0" xfId="0" applyNumberFormat="1" applyFill="1" applyAlignment="1">
      <alignment wrapText="1"/>
    </xf>
    <xf numFmtId="1" fontId="0" fillId="13" borderId="0" xfId="0" applyNumberFormat="1" applyFill="1" applyAlignment="1">
      <alignment wrapText="1"/>
    </xf>
    <xf numFmtId="1" fontId="0" fillId="0" borderId="0" xfId="0" applyNumberFormat="1" applyAlignment="1">
      <alignment wrapText="1"/>
    </xf>
    <xf numFmtId="1" fontId="0" fillId="15" borderId="0" xfId="0" applyNumberFormat="1" applyFill="1" applyAlignment="1">
      <alignment wrapText="1"/>
    </xf>
    <xf numFmtId="167" fontId="0" fillId="13" borderId="0" xfId="0" applyNumberFormat="1" applyFill="1" applyAlignment="1">
      <alignment wrapText="1"/>
    </xf>
    <xf numFmtId="0" fontId="0" fillId="0" borderId="4" xfId="0" applyBorder="1"/>
    <xf numFmtId="0" fontId="1" fillId="0" borderId="0" xfId="0" applyFont="1" applyAlignment="1">
      <alignment horizontal="center" vertical="center"/>
    </xf>
    <xf numFmtId="0" fontId="1" fillId="0" borderId="0" xfId="0" quotePrefix="1"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165" fontId="0" fillId="0" borderId="0" xfId="0" applyNumberFormat="1" applyAlignment="1">
      <alignment horizontal="center" vertical="center"/>
    </xf>
    <xf numFmtId="2" fontId="0" fillId="0" borderId="0" xfId="0" applyNumberFormat="1" applyAlignment="1">
      <alignment horizontal="center"/>
    </xf>
    <xf numFmtId="0" fontId="8"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168"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13" fillId="10" borderId="0" xfId="0" applyFont="1" applyFill="1" applyAlignment="1">
      <alignment horizontal="center" wrapText="1"/>
    </xf>
    <xf numFmtId="0" fontId="0" fillId="13" borderId="0" xfId="0" applyFill="1" applyAlignment="1">
      <alignment horizontal="center" wrapText="1"/>
    </xf>
    <xf numFmtId="1" fontId="13" fillId="10" borderId="0" xfId="0" applyNumberFormat="1" applyFont="1" applyFill="1" applyAlignment="1">
      <alignment horizontal="right" wrapText="1"/>
    </xf>
    <xf numFmtId="1" fontId="0" fillId="13" borderId="0" xfId="0" applyNumberFormat="1" applyFill="1" applyAlignment="1">
      <alignment horizontal="right" wrapText="1"/>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99CC"/>
      <color rgb="FFCC99FF"/>
      <color rgb="FF003399"/>
      <color rgb="FF3399FF"/>
      <color rgb="FF999900"/>
      <color rgb="FFCC9933"/>
      <color rgb="FFFF66FF"/>
      <color rgb="FFFF6699"/>
      <color rgb="FF996666"/>
      <color rgb="FFCC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2150-C346-8946-0161BEA72B97}"/>
                </c:ext>
              </c:extLst>
            </c:dLbl>
            <c:dLbl>
              <c:idx val="6"/>
              <c:delete val="1"/>
              <c:extLst>
                <c:ext xmlns:c15="http://schemas.microsoft.com/office/drawing/2012/chart" uri="{CE6537A1-D6FC-4f65-9D91-7224C49458BB}"/>
                <c:ext xmlns:c16="http://schemas.microsoft.com/office/drawing/2014/chart" uri="{C3380CC4-5D6E-409C-BE32-E72D297353CC}">
                  <c16:uniqueId val="{00000002-2150-C346-8946-0161BEA72B97}"/>
                </c:ext>
              </c:extLst>
            </c:dLbl>
            <c:dLbl>
              <c:idx val="8"/>
              <c:delete val="1"/>
              <c:extLst>
                <c:ext xmlns:c15="http://schemas.microsoft.com/office/drawing/2012/chart" uri="{CE6537A1-D6FC-4f65-9D91-7224C49458BB}"/>
                <c:ext xmlns:c16="http://schemas.microsoft.com/office/drawing/2014/chart" uri="{C3380CC4-5D6E-409C-BE32-E72D297353CC}">
                  <c16:uniqueId val="{00000003-2150-C346-8946-0161BEA72B97}"/>
                </c:ext>
              </c:extLst>
            </c:dLbl>
            <c:dLbl>
              <c:idx val="11"/>
              <c:delete val="1"/>
              <c:extLst>
                <c:ext xmlns:c15="http://schemas.microsoft.com/office/drawing/2012/chart" uri="{CE6537A1-D6FC-4f65-9D91-7224C49458BB}"/>
                <c:ext xmlns:c16="http://schemas.microsoft.com/office/drawing/2014/chart" uri="{C3380CC4-5D6E-409C-BE32-E72D297353CC}">
                  <c16:uniqueId val="{00000004-2150-C346-8946-0161BEA72B97}"/>
                </c:ext>
              </c:extLst>
            </c:dLbl>
            <c:dLbl>
              <c:idx val="13"/>
              <c:delete val="1"/>
              <c:extLst>
                <c:ext xmlns:c15="http://schemas.microsoft.com/office/drawing/2012/chart" uri="{CE6537A1-D6FC-4f65-9D91-7224C49458BB}"/>
                <c:ext xmlns:c16="http://schemas.microsoft.com/office/drawing/2014/chart" uri="{C3380CC4-5D6E-409C-BE32-E72D297353CC}">
                  <c16:uniqueId val="{00000000-1D32-BE47-B504-8066D2524DA2}"/>
                </c:ext>
              </c:extLst>
            </c:dLbl>
            <c:dLbl>
              <c:idx val="15"/>
              <c:delete val="1"/>
              <c:extLst>
                <c:ext xmlns:c15="http://schemas.microsoft.com/office/drawing/2012/chart" uri="{CE6537A1-D6FC-4f65-9D91-7224C49458BB}"/>
                <c:ext xmlns:c16="http://schemas.microsoft.com/office/drawing/2014/chart" uri="{C3380CC4-5D6E-409C-BE32-E72D297353CC}">
                  <c16:uniqueId val="{00000006-2150-C346-8946-0161BEA72B97}"/>
                </c:ext>
              </c:extLst>
            </c:dLbl>
            <c:dLbl>
              <c:idx val="16"/>
              <c:delete val="1"/>
              <c:extLst>
                <c:ext xmlns:c15="http://schemas.microsoft.com/office/drawing/2012/chart" uri="{CE6537A1-D6FC-4f65-9D91-7224C49458BB}"/>
                <c:ext xmlns:c16="http://schemas.microsoft.com/office/drawing/2014/chart" uri="{C3380CC4-5D6E-409C-BE32-E72D297353CC}">
                  <c16:uniqueId val="{00000007-2150-C346-8946-0161BEA72B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'5.W type distribution @ sources'!$H$1:$X$1</c:f>
              <c:strCache>
                <c:ptCount val="17"/>
                <c:pt idx="0">
                  <c:v>PE</c:v>
                </c:pt>
                <c:pt idx="1">
                  <c:v>PET_soft drink</c:v>
                </c:pt>
                <c:pt idx="2">
                  <c:v>PET_water bottle</c:v>
                </c:pt>
                <c:pt idx="3">
                  <c:v>PET_other</c:v>
                </c:pt>
                <c:pt idx="4">
                  <c:v>LDPE_snack</c:v>
                </c:pt>
                <c:pt idx="5">
                  <c:v>LDPE_white bag</c:v>
                </c:pt>
                <c:pt idx="6">
                  <c:v>LDPE_other</c:v>
                </c:pt>
                <c:pt idx="7">
                  <c:v>HDPE_shampô</c:v>
                </c:pt>
                <c:pt idx="8">
                  <c:v>HDPE_cosmetic</c:v>
                </c:pt>
                <c:pt idx="9">
                  <c:v>PP_bag</c:v>
                </c:pt>
                <c:pt idx="10">
                  <c:v>PP_cup</c:v>
                </c:pt>
                <c:pt idx="11">
                  <c:v>Other PP (fishing net)</c:v>
                </c:pt>
                <c:pt idx="12">
                  <c:v>PS_foam</c:v>
                </c:pt>
                <c:pt idx="13">
                  <c:v>PS_other</c:v>
                </c:pt>
                <c:pt idx="14">
                  <c:v>PS_foodwrap</c:v>
                </c:pt>
                <c:pt idx="15">
                  <c:v>PVC</c:v>
                </c:pt>
                <c:pt idx="16">
                  <c:v>Other</c:v>
                </c:pt>
              </c:strCache>
            </c:strRef>
          </c:cat>
          <c:val>
            <c:numRef>
              <c:f>'5.W type distribution @ sources'!$H$2:$X$2</c:f>
              <c:numCache>
                <c:formatCode>General</c:formatCode>
                <c:ptCount val="17"/>
                <c:pt idx="0">
                  <c:v>6.25</c:v>
                </c:pt>
                <c:pt idx="1">
                  <c:v>1.2000000000000002</c:v>
                </c:pt>
                <c:pt idx="2">
                  <c:v>1.2</c:v>
                </c:pt>
                <c:pt idx="3">
                  <c:v>0</c:v>
                </c:pt>
                <c:pt idx="4">
                  <c:v>0.85</c:v>
                </c:pt>
                <c:pt idx="5">
                  <c:v>0.85</c:v>
                </c:pt>
                <c:pt idx="6">
                  <c:v>0</c:v>
                </c:pt>
                <c:pt idx="7">
                  <c:v>0.1</c:v>
                </c:pt>
                <c:pt idx="8">
                  <c:v>0</c:v>
                </c:pt>
                <c:pt idx="9">
                  <c:v>1.2999999999999998</c:v>
                </c:pt>
                <c:pt idx="10">
                  <c:v>1.2000000000000002</c:v>
                </c:pt>
                <c:pt idx="11">
                  <c:v>0</c:v>
                </c:pt>
                <c:pt idx="12">
                  <c:v>1.65</c:v>
                </c:pt>
                <c:pt idx="13">
                  <c:v>0</c:v>
                </c:pt>
                <c:pt idx="14">
                  <c:v>2.0499999999999998</c:v>
                </c:pt>
                <c:pt idx="15">
                  <c:v>0</c:v>
                </c:pt>
                <c:pt idx="16">
                  <c:v>0</c:v>
                </c:pt>
              </c:numCache>
            </c:numRef>
          </c:val>
          <c:extLst>
            <c:ext xmlns:c16="http://schemas.microsoft.com/office/drawing/2014/chart" uri="{C3380CC4-5D6E-409C-BE32-E72D297353CC}">
              <c16:uniqueId val="{00000000-3124-2848-B827-AA56F6765036}"/>
            </c:ext>
          </c:extLst>
        </c:ser>
        <c:dLbls>
          <c:showLegendKey val="0"/>
          <c:showVal val="0"/>
          <c:showCatName val="0"/>
          <c:showSerName val="0"/>
          <c:showPercent val="0"/>
          <c:showBubbleSize val="0"/>
        </c:dLbls>
        <c:gapWidth val="150"/>
        <c:axId val="1665859344"/>
        <c:axId val="1665861104"/>
      </c:barChart>
      <c:catAx>
        <c:axId val="1665859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Điểm 1 - Hộ dân 1</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61104"/>
        <c:crosses val="autoZero"/>
        <c:auto val="1"/>
        <c:lblAlgn val="ctr"/>
        <c:lblOffset val="100"/>
        <c:noMultiLvlLbl val="0"/>
      </c:catAx>
      <c:valAx>
        <c:axId val="1665861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Lượng</a:t>
                </a:r>
                <a:r>
                  <a:rPr lang="en-US" baseline="0"/>
                  <a:t> rác nhựa (kg)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59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68ED-2843-B8C9-79AD113FBE95}"/>
                </c:ext>
              </c:extLst>
            </c:dLbl>
            <c:dLbl>
              <c:idx val="5"/>
              <c:delete val="1"/>
              <c:extLst>
                <c:ext xmlns:c15="http://schemas.microsoft.com/office/drawing/2012/chart" uri="{CE6537A1-D6FC-4f65-9D91-7224C49458BB}"/>
                <c:ext xmlns:c16="http://schemas.microsoft.com/office/drawing/2014/chart" uri="{C3380CC4-5D6E-409C-BE32-E72D297353CC}">
                  <c16:uniqueId val="{00000002-68ED-2843-B8C9-79AD113FBE95}"/>
                </c:ext>
              </c:extLst>
            </c:dLbl>
            <c:dLbl>
              <c:idx val="6"/>
              <c:delete val="1"/>
              <c:extLst>
                <c:ext xmlns:c15="http://schemas.microsoft.com/office/drawing/2012/chart" uri="{CE6537A1-D6FC-4f65-9D91-7224C49458BB}"/>
                <c:ext xmlns:c16="http://schemas.microsoft.com/office/drawing/2014/chart" uri="{C3380CC4-5D6E-409C-BE32-E72D297353CC}">
                  <c16:uniqueId val="{00000003-68ED-2843-B8C9-79AD113FBE95}"/>
                </c:ext>
              </c:extLst>
            </c:dLbl>
            <c:dLbl>
              <c:idx val="7"/>
              <c:delete val="1"/>
              <c:extLst>
                <c:ext xmlns:c15="http://schemas.microsoft.com/office/drawing/2012/chart" uri="{CE6537A1-D6FC-4f65-9D91-7224C49458BB}"/>
                <c:ext xmlns:c16="http://schemas.microsoft.com/office/drawing/2014/chart" uri="{C3380CC4-5D6E-409C-BE32-E72D297353CC}">
                  <c16:uniqueId val="{00000004-68ED-2843-B8C9-79AD113FBE95}"/>
                </c:ext>
              </c:extLst>
            </c:dLbl>
            <c:dLbl>
              <c:idx val="8"/>
              <c:delete val="1"/>
              <c:extLst>
                <c:ext xmlns:c15="http://schemas.microsoft.com/office/drawing/2012/chart" uri="{CE6537A1-D6FC-4f65-9D91-7224C49458BB}"/>
                <c:ext xmlns:c16="http://schemas.microsoft.com/office/drawing/2014/chart" uri="{C3380CC4-5D6E-409C-BE32-E72D297353CC}">
                  <c16:uniqueId val="{00000005-68ED-2843-B8C9-79AD113FBE95}"/>
                </c:ext>
              </c:extLst>
            </c:dLbl>
            <c:dLbl>
              <c:idx val="11"/>
              <c:delete val="1"/>
              <c:extLst>
                <c:ext xmlns:c15="http://schemas.microsoft.com/office/drawing/2012/chart" uri="{CE6537A1-D6FC-4f65-9D91-7224C49458BB}"/>
                <c:ext xmlns:c16="http://schemas.microsoft.com/office/drawing/2014/chart" uri="{C3380CC4-5D6E-409C-BE32-E72D297353CC}">
                  <c16:uniqueId val="{00000006-68ED-2843-B8C9-79AD113FBE95}"/>
                </c:ext>
              </c:extLst>
            </c:dLbl>
            <c:dLbl>
              <c:idx val="13"/>
              <c:delete val="1"/>
              <c:extLst>
                <c:ext xmlns:c15="http://schemas.microsoft.com/office/drawing/2012/chart" uri="{CE6537A1-D6FC-4f65-9D91-7224C49458BB}"/>
                <c:ext xmlns:c16="http://schemas.microsoft.com/office/drawing/2014/chart" uri="{C3380CC4-5D6E-409C-BE32-E72D297353CC}">
                  <c16:uniqueId val="{00000007-68ED-2843-B8C9-79AD113FBE95}"/>
                </c:ext>
              </c:extLst>
            </c:dLbl>
            <c:dLbl>
              <c:idx val="14"/>
              <c:delete val="1"/>
              <c:extLst>
                <c:ext xmlns:c15="http://schemas.microsoft.com/office/drawing/2012/chart" uri="{CE6537A1-D6FC-4f65-9D91-7224C49458BB}"/>
                <c:ext xmlns:c16="http://schemas.microsoft.com/office/drawing/2014/chart" uri="{C3380CC4-5D6E-409C-BE32-E72D297353CC}">
                  <c16:uniqueId val="{00000008-68ED-2843-B8C9-79AD113FBE95}"/>
                </c:ext>
              </c:extLst>
            </c:dLbl>
            <c:dLbl>
              <c:idx val="16"/>
              <c:delete val="1"/>
              <c:extLst>
                <c:ext xmlns:c15="http://schemas.microsoft.com/office/drawing/2012/chart" uri="{CE6537A1-D6FC-4f65-9D91-7224C49458BB}"/>
                <c:ext xmlns:c16="http://schemas.microsoft.com/office/drawing/2014/chart" uri="{C3380CC4-5D6E-409C-BE32-E72D297353CC}">
                  <c16:uniqueId val="{00000009-68ED-2843-B8C9-79AD113FBE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'5.W type distribution @ sources'!$H$1:$X$1</c:f>
              <c:strCache>
                <c:ptCount val="17"/>
                <c:pt idx="0">
                  <c:v>PE</c:v>
                </c:pt>
                <c:pt idx="1">
                  <c:v>PET_soft drink</c:v>
                </c:pt>
                <c:pt idx="2">
                  <c:v>PET_water bottle</c:v>
                </c:pt>
                <c:pt idx="3">
                  <c:v>PET_other</c:v>
                </c:pt>
                <c:pt idx="4">
                  <c:v>LDPE_snack</c:v>
                </c:pt>
                <c:pt idx="5">
                  <c:v>LDPE_white bag</c:v>
                </c:pt>
                <c:pt idx="6">
                  <c:v>LDPE_other</c:v>
                </c:pt>
                <c:pt idx="7">
                  <c:v>HDPE_shampô</c:v>
                </c:pt>
                <c:pt idx="8">
                  <c:v>HDPE_cosmetic</c:v>
                </c:pt>
                <c:pt idx="9">
                  <c:v>PP_bag</c:v>
                </c:pt>
                <c:pt idx="10">
                  <c:v>PP_cup</c:v>
                </c:pt>
                <c:pt idx="11">
                  <c:v>Other PP (fishing net)</c:v>
                </c:pt>
                <c:pt idx="12">
                  <c:v>PS_foam</c:v>
                </c:pt>
                <c:pt idx="13">
                  <c:v>PS_other</c:v>
                </c:pt>
                <c:pt idx="14">
                  <c:v>PS_foodwrap</c:v>
                </c:pt>
                <c:pt idx="15">
                  <c:v>PVC</c:v>
                </c:pt>
                <c:pt idx="16">
                  <c:v>Other</c:v>
                </c:pt>
              </c:strCache>
            </c:strRef>
          </c:cat>
          <c:val>
            <c:numRef>
              <c:f>'5.W type distribution @ sources'!$H$3:$X$3</c:f>
              <c:numCache>
                <c:formatCode>General</c:formatCode>
                <c:ptCount val="17"/>
                <c:pt idx="0">
                  <c:v>8.5</c:v>
                </c:pt>
                <c:pt idx="1">
                  <c:v>0.3</c:v>
                </c:pt>
                <c:pt idx="2">
                  <c:v>0.2</c:v>
                </c:pt>
                <c:pt idx="3">
                  <c:v>0</c:v>
                </c:pt>
                <c:pt idx="4">
                  <c:v>0.2</c:v>
                </c:pt>
                <c:pt idx="5">
                  <c:v>0</c:v>
                </c:pt>
                <c:pt idx="6">
                  <c:v>0</c:v>
                </c:pt>
                <c:pt idx="7">
                  <c:v>0</c:v>
                </c:pt>
                <c:pt idx="8">
                  <c:v>0</c:v>
                </c:pt>
                <c:pt idx="9">
                  <c:v>0.5</c:v>
                </c:pt>
                <c:pt idx="10">
                  <c:v>9</c:v>
                </c:pt>
                <c:pt idx="11">
                  <c:v>0</c:v>
                </c:pt>
                <c:pt idx="12">
                  <c:v>2</c:v>
                </c:pt>
                <c:pt idx="13">
                  <c:v>0</c:v>
                </c:pt>
                <c:pt idx="14">
                  <c:v>0</c:v>
                </c:pt>
                <c:pt idx="15">
                  <c:v>1</c:v>
                </c:pt>
                <c:pt idx="16">
                  <c:v>0</c:v>
                </c:pt>
              </c:numCache>
            </c:numRef>
          </c:val>
          <c:extLst>
            <c:ext xmlns:c16="http://schemas.microsoft.com/office/drawing/2014/chart" uri="{C3380CC4-5D6E-409C-BE32-E72D297353CC}">
              <c16:uniqueId val="{00000000-E366-8945-9100-1214786BDB22}"/>
            </c:ext>
          </c:extLst>
        </c:ser>
        <c:dLbls>
          <c:showLegendKey val="0"/>
          <c:showVal val="0"/>
          <c:showCatName val="0"/>
          <c:showSerName val="0"/>
          <c:showPercent val="0"/>
          <c:showBubbleSize val="0"/>
        </c:dLbls>
        <c:gapWidth val="150"/>
        <c:axId val="1665859344"/>
        <c:axId val="1665861104"/>
      </c:barChart>
      <c:catAx>
        <c:axId val="1665859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Điểm 3: Hộ dân 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61104"/>
        <c:crosses val="autoZero"/>
        <c:auto val="1"/>
        <c:lblAlgn val="ctr"/>
        <c:lblOffset val="100"/>
        <c:noMultiLvlLbl val="0"/>
      </c:catAx>
      <c:valAx>
        <c:axId val="1665861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59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F13A-3A43-9D1D-9B980EA63602}"/>
                </c:ext>
              </c:extLst>
            </c:dLbl>
            <c:dLbl>
              <c:idx val="5"/>
              <c:delete val="1"/>
              <c:extLst>
                <c:ext xmlns:c15="http://schemas.microsoft.com/office/drawing/2012/chart" uri="{CE6537A1-D6FC-4f65-9D91-7224C49458BB}"/>
                <c:ext xmlns:c16="http://schemas.microsoft.com/office/drawing/2014/chart" uri="{C3380CC4-5D6E-409C-BE32-E72D297353CC}">
                  <c16:uniqueId val="{00000002-F13A-3A43-9D1D-9B980EA63602}"/>
                </c:ext>
              </c:extLst>
            </c:dLbl>
            <c:dLbl>
              <c:idx val="6"/>
              <c:delete val="1"/>
              <c:extLst>
                <c:ext xmlns:c15="http://schemas.microsoft.com/office/drawing/2012/chart" uri="{CE6537A1-D6FC-4f65-9D91-7224C49458BB}"/>
                <c:ext xmlns:c16="http://schemas.microsoft.com/office/drawing/2014/chart" uri="{C3380CC4-5D6E-409C-BE32-E72D297353CC}">
                  <c16:uniqueId val="{00000003-F13A-3A43-9D1D-9B980EA63602}"/>
                </c:ext>
              </c:extLst>
            </c:dLbl>
            <c:dLbl>
              <c:idx val="7"/>
              <c:delete val="1"/>
              <c:extLst>
                <c:ext xmlns:c15="http://schemas.microsoft.com/office/drawing/2012/chart" uri="{CE6537A1-D6FC-4f65-9D91-7224C49458BB}"/>
                <c:ext xmlns:c16="http://schemas.microsoft.com/office/drawing/2014/chart" uri="{C3380CC4-5D6E-409C-BE32-E72D297353CC}">
                  <c16:uniqueId val="{00000004-F13A-3A43-9D1D-9B980EA63602}"/>
                </c:ext>
              </c:extLst>
            </c:dLbl>
            <c:dLbl>
              <c:idx val="8"/>
              <c:delete val="1"/>
              <c:extLst>
                <c:ext xmlns:c15="http://schemas.microsoft.com/office/drawing/2012/chart" uri="{CE6537A1-D6FC-4f65-9D91-7224C49458BB}"/>
                <c:ext xmlns:c16="http://schemas.microsoft.com/office/drawing/2014/chart" uri="{C3380CC4-5D6E-409C-BE32-E72D297353CC}">
                  <c16:uniqueId val="{00000005-F13A-3A43-9D1D-9B980EA63602}"/>
                </c:ext>
              </c:extLst>
            </c:dLbl>
            <c:dLbl>
              <c:idx val="10"/>
              <c:delete val="1"/>
              <c:extLst>
                <c:ext xmlns:c15="http://schemas.microsoft.com/office/drawing/2012/chart" uri="{CE6537A1-D6FC-4f65-9D91-7224C49458BB}"/>
                <c:ext xmlns:c16="http://schemas.microsoft.com/office/drawing/2014/chart" uri="{C3380CC4-5D6E-409C-BE32-E72D297353CC}">
                  <c16:uniqueId val="{00000006-F13A-3A43-9D1D-9B980EA63602}"/>
                </c:ext>
              </c:extLst>
            </c:dLbl>
            <c:dLbl>
              <c:idx val="11"/>
              <c:delete val="1"/>
              <c:extLst>
                <c:ext xmlns:c15="http://schemas.microsoft.com/office/drawing/2012/chart" uri="{CE6537A1-D6FC-4f65-9D91-7224C49458BB}"/>
                <c:ext xmlns:c16="http://schemas.microsoft.com/office/drawing/2014/chart" uri="{C3380CC4-5D6E-409C-BE32-E72D297353CC}">
                  <c16:uniqueId val="{00000007-F13A-3A43-9D1D-9B980EA63602}"/>
                </c:ext>
              </c:extLst>
            </c:dLbl>
            <c:dLbl>
              <c:idx val="13"/>
              <c:delete val="1"/>
              <c:extLst>
                <c:ext xmlns:c15="http://schemas.microsoft.com/office/drawing/2012/chart" uri="{CE6537A1-D6FC-4f65-9D91-7224C49458BB}"/>
                <c:ext xmlns:c16="http://schemas.microsoft.com/office/drawing/2014/chart" uri="{C3380CC4-5D6E-409C-BE32-E72D297353CC}">
                  <c16:uniqueId val="{00000008-F13A-3A43-9D1D-9B980EA63602}"/>
                </c:ext>
              </c:extLst>
            </c:dLbl>
            <c:dLbl>
              <c:idx val="14"/>
              <c:delete val="1"/>
              <c:extLst>
                <c:ext xmlns:c15="http://schemas.microsoft.com/office/drawing/2012/chart" uri="{CE6537A1-D6FC-4f65-9D91-7224C49458BB}"/>
                <c:ext xmlns:c16="http://schemas.microsoft.com/office/drawing/2014/chart" uri="{C3380CC4-5D6E-409C-BE32-E72D297353CC}">
                  <c16:uniqueId val="{00000009-F13A-3A43-9D1D-9B980EA63602}"/>
                </c:ext>
              </c:extLst>
            </c:dLbl>
            <c:dLbl>
              <c:idx val="16"/>
              <c:delete val="1"/>
              <c:extLst>
                <c:ext xmlns:c15="http://schemas.microsoft.com/office/drawing/2012/chart" uri="{CE6537A1-D6FC-4f65-9D91-7224C49458BB}"/>
                <c:ext xmlns:c16="http://schemas.microsoft.com/office/drawing/2014/chart" uri="{C3380CC4-5D6E-409C-BE32-E72D297353CC}">
                  <c16:uniqueId val="{0000000A-F13A-3A43-9D1D-9B980EA636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'5.W type distribution @ sources'!$H$1:$X$1</c:f>
              <c:strCache>
                <c:ptCount val="17"/>
                <c:pt idx="0">
                  <c:v>PE</c:v>
                </c:pt>
                <c:pt idx="1">
                  <c:v>PET_soft drink</c:v>
                </c:pt>
                <c:pt idx="2">
                  <c:v>PET_water bottle</c:v>
                </c:pt>
                <c:pt idx="3">
                  <c:v>PET_other</c:v>
                </c:pt>
                <c:pt idx="4">
                  <c:v>LDPE_snack</c:v>
                </c:pt>
                <c:pt idx="5">
                  <c:v>LDPE_white bag</c:v>
                </c:pt>
                <c:pt idx="6">
                  <c:v>LDPE_other</c:v>
                </c:pt>
                <c:pt idx="7">
                  <c:v>HDPE_shampô</c:v>
                </c:pt>
                <c:pt idx="8">
                  <c:v>HDPE_cosmetic</c:v>
                </c:pt>
                <c:pt idx="9">
                  <c:v>PP_bag</c:v>
                </c:pt>
                <c:pt idx="10">
                  <c:v>PP_cup</c:v>
                </c:pt>
                <c:pt idx="11">
                  <c:v>Other PP (fishing net)</c:v>
                </c:pt>
                <c:pt idx="12">
                  <c:v>PS_foam</c:v>
                </c:pt>
                <c:pt idx="13">
                  <c:v>PS_other</c:v>
                </c:pt>
                <c:pt idx="14">
                  <c:v>PS_foodwrap</c:v>
                </c:pt>
                <c:pt idx="15">
                  <c:v>PVC</c:v>
                </c:pt>
                <c:pt idx="16">
                  <c:v>Other</c:v>
                </c:pt>
              </c:strCache>
            </c:strRef>
          </c:cat>
          <c:val>
            <c:numRef>
              <c:f>'5.W type distribution @ sources'!$H$4:$X$4</c:f>
              <c:numCache>
                <c:formatCode>General</c:formatCode>
                <c:ptCount val="17"/>
                <c:pt idx="0">
                  <c:v>3.1</c:v>
                </c:pt>
                <c:pt idx="1">
                  <c:v>0.7</c:v>
                </c:pt>
                <c:pt idx="2">
                  <c:v>0.6</c:v>
                </c:pt>
                <c:pt idx="3">
                  <c:v>0</c:v>
                </c:pt>
                <c:pt idx="4">
                  <c:v>0.15</c:v>
                </c:pt>
                <c:pt idx="5">
                  <c:v>0</c:v>
                </c:pt>
                <c:pt idx="6">
                  <c:v>0</c:v>
                </c:pt>
                <c:pt idx="7">
                  <c:v>0</c:v>
                </c:pt>
                <c:pt idx="8">
                  <c:v>0</c:v>
                </c:pt>
                <c:pt idx="9">
                  <c:v>0.9</c:v>
                </c:pt>
                <c:pt idx="10">
                  <c:v>0</c:v>
                </c:pt>
                <c:pt idx="11">
                  <c:v>0</c:v>
                </c:pt>
                <c:pt idx="12">
                  <c:v>1.5</c:v>
                </c:pt>
                <c:pt idx="13">
                  <c:v>0</c:v>
                </c:pt>
                <c:pt idx="14">
                  <c:v>0</c:v>
                </c:pt>
                <c:pt idx="15">
                  <c:v>0.25</c:v>
                </c:pt>
                <c:pt idx="16">
                  <c:v>0</c:v>
                </c:pt>
              </c:numCache>
            </c:numRef>
          </c:val>
          <c:extLst>
            <c:ext xmlns:c16="http://schemas.microsoft.com/office/drawing/2014/chart" uri="{C3380CC4-5D6E-409C-BE32-E72D297353CC}">
              <c16:uniqueId val="{00000000-EC7D-BB4A-86BA-5DF5B8AF322D}"/>
            </c:ext>
          </c:extLst>
        </c:ser>
        <c:dLbls>
          <c:showLegendKey val="0"/>
          <c:showVal val="0"/>
          <c:showCatName val="0"/>
          <c:showSerName val="0"/>
          <c:showPercent val="0"/>
          <c:showBubbleSize val="0"/>
        </c:dLbls>
        <c:gapWidth val="150"/>
        <c:axId val="1665859344"/>
        <c:axId val="1665861104"/>
      </c:barChart>
      <c:catAx>
        <c:axId val="1665859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Điểm 4: Hộ dân 3</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61104"/>
        <c:crosses val="autoZero"/>
        <c:auto val="1"/>
        <c:lblAlgn val="ctr"/>
        <c:lblOffset val="100"/>
        <c:noMultiLvlLbl val="0"/>
      </c:catAx>
      <c:valAx>
        <c:axId val="1665861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Lượng</a:t>
                </a:r>
                <a:r>
                  <a:rPr lang="en-US" baseline="0"/>
                  <a:t> rác nhựa (kg)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59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10970061549903E-2"/>
          <c:y val="6.8279569892473121E-2"/>
          <c:w val="0.89495717866023616"/>
          <c:h val="0.49155627240143368"/>
        </c:manualLayout>
      </c:layout>
      <c:barChart>
        <c:barDir val="col"/>
        <c:grouping val="clustered"/>
        <c:varyColors val="0"/>
        <c:ser>
          <c:idx val="0"/>
          <c:order val="0"/>
          <c:spPr>
            <a:solidFill>
              <a:schemeClr val="accent1"/>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1-5FE2-1F4E-92FA-B0A1FDC77194}"/>
                </c:ext>
              </c:extLst>
            </c:dLbl>
            <c:dLbl>
              <c:idx val="11"/>
              <c:delete val="1"/>
              <c:extLst>
                <c:ext xmlns:c15="http://schemas.microsoft.com/office/drawing/2012/chart" uri="{CE6537A1-D6FC-4f65-9D91-7224C49458BB}"/>
                <c:ext xmlns:c16="http://schemas.microsoft.com/office/drawing/2014/chart" uri="{C3380CC4-5D6E-409C-BE32-E72D297353CC}">
                  <c16:uniqueId val="{00000002-5FE2-1F4E-92FA-B0A1FDC77194}"/>
                </c:ext>
              </c:extLst>
            </c:dLbl>
            <c:dLbl>
              <c:idx val="13"/>
              <c:delete val="1"/>
              <c:extLst>
                <c:ext xmlns:c15="http://schemas.microsoft.com/office/drawing/2012/chart" uri="{CE6537A1-D6FC-4f65-9D91-7224C49458BB}"/>
                <c:ext xmlns:c16="http://schemas.microsoft.com/office/drawing/2014/chart" uri="{C3380CC4-5D6E-409C-BE32-E72D297353CC}">
                  <c16:uniqueId val="{00000000-8755-4E4C-90B8-572366D894C6}"/>
                </c:ext>
              </c:extLst>
            </c:dLbl>
            <c:dLbl>
              <c:idx val="16"/>
              <c:delete val="1"/>
              <c:extLst>
                <c:ext xmlns:c15="http://schemas.microsoft.com/office/drawing/2012/chart" uri="{CE6537A1-D6FC-4f65-9D91-7224C49458BB}"/>
                <c:ext xmlns:c16="http://schemas.microsoft.com/office/drawing/2014/chart" uri="{C3380CC4-5D6E-409C-BE32-E72D297353CC}">
                  <c16:uniqueId val="{00000004-5FE2-1F4E-92FA-B0A1FDC771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'5.W type distribution @ sources'!$H$1:$X$1</c:f>
              <c:strCache>
                <c:ptCount val="17"/>
                <c:pt idx="0">
                  <c:v>PE</c:v>
                </c:pt>
                <c:pt idx="1">
                  <c:v>PET_soft drink</c:v>
                </c:pt>
                <c:pt idx="2">
                  <c:v>PET_water bottle</c:v>
                </c:pt>
                <c:pt idx="3">
                  <c:v>PET_other</c:v>
                </c:pt>
                <c:pt idx="4">
                  <c:v>LDPE_snack</c:v>
                </c:pt>
                <c:pt idx="5">
                  <c:v>LDPE_white bag</c:v>
                </c:pt>
                <c:pt idx="6">
                  <c:v>LDPE_other</c:v>
                </c:pt>
                <c:pt idx="7">
                  <c:v>HDPE_shampô</c:v>
                </c:pt>
                <c:pt idx="8">
                  <c:v>HDPE_cosmetic</c:v>
                </c:pt>
                <c:pt idx="9">
                  <c:v>PP_bag</c:v>
                </c:pt>
                <c:pt idx="10">
                  <c:v>PP_cup</c:v>
                </c:pt>
                <c:pt idx="11">
                  <c:v>Other PP (fishing net)</c:v>
                </c:pt>
                <c:pt idx="12">
                  <c:v>PS_foam</c:v>
                </c:pt>
                <c:pt idx="13">
                  <c:v>PS_other</c:v>
                </c:pt>
                <c:pt idx="14">
                  <c:v>PS_foodwrap</c:v>
                </c:pt>
                <c:pt idx="15">
                  <c:v>PVC</c:v>
                </c:pt>
                <c:pt idx="16">
                  <c:v>Other</c:v>
                </c:pt>
              </c:strCache>
            </c:strRef>
          </c:cat>
          <c:val>
            <c:numRef>
              <c:f>'5.W type distribution @ sources'!$H$5:$X$5</c:f>
              <c:numCache>
                <c:formatCode>General</c:formatCode>
                <c:ptCount val="17"/>
                <c:pt idx="0">
                  <c:v>25.299999999999997</c:v>
                </c:pt>
                <c:pt idx="1">
                  <c:v>3.5999999999999996</c:v>
                </c:pt>
                <c:pt idx="2">
                  <c:v>3.8</c:v>
                </c:pt>
                <c:pt idx="3">
                  <c:v>0.3</c:v>
                </c:pt>
                <c:pt idx="4">
                  <c:v>1.75</c:v>
                </c:pt>
                <c:pt idx="5">
                  <c:v>1.75</c:v>
                </c:pt>
                <c:pt idx="6">
                  <c:v>0</c:v>
                </c:pt>
                <c:pt idx="7">
                  <c:v>1.325</c:v>
                </c:pt>
                <c:pt idx="8">
                  <c:v>1.325</c:v>
                </c:pt>
                <c:pt idx="9">
                  <c:v>25.5</c:v>
                </c:pt>
                <c:pt idx="10">
                  <c:v>3.5</c:v>
                </c:pt>
                <c:pt idx="11">
                  <c:v>0</c:v>
                </c:pt>
                <c:pt idx="12">
                  <c:v>11</c:v>
                </c:pt>
                <c:pt idx="13">
                  <c:v>0</c:v>
                </c:pt>
                <c:pt idx="14">
                  <c:v>3.3</c:v>
                </c:pt>
                <c:pt idx="15">
                  <c:v>0.9</c:v>
                </c:pt>
                <c:pt idx="16">
                  <c:v>0</c:v>
                </c:pt>
              </c:numCache>
            </c:numRef>
          </c:val>
          <c:extLst>
            <c:ext xmlns:c16="http://schemas.microsoft.com/office/drawing/2014/chart" uri="{C3380CC4-5D6E-409C-BE32-E72D297353CC}">
              <c16:uniqueId val="{00000000-1242-E747-B4FF-43B0154B64AC}"/>
            </c:ext>
          </c:extLst>
        </c:ser>
        <c:dLbls>
          <c:showLegendKey val="0"/>
          <c:showVal val="0"/>
          <c:showCatName val="0"/>
          <c:showSerName val="0"/>
          <c:showPercent val="0"/>
          <c:showBubbleSize val="0"/>
        </c:dLbls>
        <c:gapWidth val="150"/>
        <c:axId val="1665859344"/>
        <c:axId val="1665861104"/>
      </c:barChart>
      <c:catAx>
        <c:axId val="1665859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Điểm 5: Hộ dân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61104"/>
        <c:crosses val="autoZero"/>
        <c:auto val="1"/>
        <c:lblAlgn val="ctr"/>
        <c:lblOffset val="100"/>
        <c:noMultiLvlLbl val="0"/>
      </c:catAx>
      <c:valAx>
        <c:axId val="1665861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59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14785651793"/>
          <c:y val="5.0925925925925923E-2"/>
          <c:w val="0.8515161854768154"/>
          <c:h val="0.74350320793234181"/>
        </c:manualLayout>
      </c:layout>
      <c:barChart>
        <c:barDir val="bar"/>
        <c:grouping val="stacked"/>
        <c:varyColors val="0"/>
        <c:ser>
          <c:idx val="0"/>
          <c:order val="0"/>
          <c:tx>
            <c:strRef>
              <c:f>'5.W type distribution @ sources'!$U$65</c:f>
              <c:strCache>
                <c:ptCount val="1"/>
                <c:pt idx="0">
                  <c:v>Còn lại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'5.W type distribution @ sources'!$T$66:$T$70</c:f>
              <c:numCache>
                <c:formatCode>General</c:formatCode>
                <c:ptCount val="5"/>
                <c:pt idx="0">
                  <c:v>4</c:v>
                </c:pt>
                <c:pt idx="1">
                  <c:v>3</c:v>
                </c:pt>
                <c:pt idx="2">
                  <c:v>1</c:v>
                </c:pt>
                <c:pt idx="3">
                  <c:v>6</c:v>
                </c:pt>
                <c:pt idx="4">
                  <c:v>5</c:v>
                </c:pt>
              </c:numCache>
            </c:numRef>
          </c:cat>
          <c:val>
            <c:numRef>
              <c:f>'5.W type distribution @ sources'!$U$66:$U$70</c:f>
              <c:numCache>
                <c:formatCode>0</c:formatCode>
                <c:ptCount val="5"/>
                <c:pt idx="0">
                  <c:v>11.8</c:v>
                </c:pt>
                <c:pt idx="1">
                  <c:v>8.5</c:v>
                </c:pt>
                <c:pt idx="2">
                  <c:v>16.2</c:v>
                </c:pt>
                <c:pt idx="3">
                  <c:v>51.4</c:v>
                </c:pt>
                <c:pt idx="4">
                  <c:v>74.900000000000006</c:v>
                </c:pt>
              </c:numCache>
            </c:numRef>
          </c:val>
          <c:extLst>
            <c:ext xmlns:c16="http://schemas.microsoft.com/office/drawing/2014/chart" uri="{C3380CC4-5D6E-409C-BE32-E72D297353CC}">
              <c16:uniqueId val="{00000000-3CF2-A745-ADE0-BF17F5059842}"/>
            </c:ext>
          </c:extLst>
        </c:ser>
        <c:ser>
          <c:idx val="1"/>
          <c:order val="1"/>
          <c:tx>
            <c:strRef>
              <c:f>'5.W type distribution @ sources'!$V$65</c:f>
              <c:strCache>
                <c:ptCount val="1"/>
                <c:pt idx="0">
                  <c:v>Nhựa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'5.W type distribution @ sources'!$T$66:$T$70</c:f>
              <c:numCache>
                <c:formatCode>General</c:formatCode>
                <c:ptCount val="5"/>
                <c:pt idx="0">
                  <c:v>4</c:v>
                </c:pt>
                <c:pt idx="1">
                  <c:v>3</c:v>
                </c:pt>
                <c:pt idx="2">
                  <c:v>1</c:v>
                </c:pt>
                <c:pt idx="3">
                  <c:v>6</c:v>
                </c:pt>
                <c:pt idx="4">
                  <c:v>5</c:v>
                </c:pt>
              </c:numCache>
            </c:numRef>
          </c:cat>
          <c:val>
            <c:numRef>
              <c:f>'5.W type distribution @ sources'!$V$66:$V$70</c:f>
              <c:numCache>
                <c:formatCode>0</c:formatCode>
                <c:ptCount val="5"/>
                <c:pt idx="0">
                  <c:v>7.2</c:v>
                </c:pt>
                <c:pt idx="1">
                  <c:v>21.7</c:v>
                </c:pt>
                <c:pt idx="2">
                  <c:v>16.649999999999999</c:v>
                </c:pt>
                <c:pt idx="3">
                  <c:v>60.1</c:v>
                </c:pt>
                <c:pt idx="4">
                  <c:v>83.35</c:v>
                </c:pt>
              </c:numCache>
            </c:numRef>
          </c:val>
          <c:extLst>
            <c:ext xmlns:c16="http://schemas.microsoft.com/office/drawing/2014/chart" uri="{C3380CC4-5D6E-409C-BE32-E72D297353CC}">
              <c16:uniqueId val="{00000001-3CF2-A745-ADE0-BF17F5059842}"/>
            </c:ext>
          </c:extLst>
        </c:ser>
        <c:dLbls>
          <c:showLegendKey val="0"/>
          <c:showVal val="0"/>
          <c:showCatName val="0"/>
          <c:showSerName val="0"/>
          <c:showPercent val="0"/>
          <c:showBubbleSize val="0"/>
        </c:dLbls>
        <c:gapWidth val="75"/>
        <c:overlap val="100"/>
        <c:axId val="366851920"/>
        <c:axId val="1738469071"/>
      </c:barChart>
      <c:catAx>
        <c:axId val="3668519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Điểm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8469071"/>
        <c:crosses val="autoZero"/>
        <c:auto val="1"/>
        <c:lblAlgn val="ctr"/>
        <c:lblOffset val="100"/>
        <c:noMultiLvlLbl val="0"/>
      </c:catAx>
      <c:valAx>
        <c:axId val="1738469071"/>
        <c:scaling>
          <c:orientation val="minMax"/>
          <c:max val="16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Khối</a:t>
                </a:r>
                <a:r>
                  <a:rPr lang="en-US" baseline="0"/>
                  <a:t> lượng chất thải (kg)</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851920"/>
        <c:crosses val="autoZero"/>
        <c:crossBetween val="between"/>
      </c:valAx>
      <c:spPr>
        <a:noFill/>
        <a:ln>
          <a:solidFill>
            <a:schemeClr val="bg1">
              <a:lumMod val="95000"/>
            </a:schemeClr>
          </a:solidFill>
        </a:ln>
        <a:effectLst/>
      </c:spPr>
    </c:plotArea>
    <c:legend>
      <c:legendPos val="r"/>
      <c:layout>
        <c:manualLayout>
          <c:xMode val="edge"/>
          <c:yMode val="edge"/>
          <c:x val="0.75642629046369214"/>
          <c:y val="0.63483741615631373"/>
          <c:w val="0.11217151972234678"/>
          <c:h val="0.156483948482686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1</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sources'!$AB$24:$AB$33</c:f>
              <c:strCache>
                <c:ptCount val="10"/>
                <c:pt idx="0">
                  <c:v>Chai dầu gội (HDPE)i</c:v>
                </c:pt>
                <c:pt idx="1">
                  <c:v>Túi nhựa (LDPE)</c:v>
                </c:pt>
                <c:pt idx="2">
                  <c:v>Vỏ gia vị (LDPE)</c:v>
                </c:pt>
                <c:pt idx="3">
                  <c:v>Nước suối (PET)</c:v>
                </c:pt>
                <c:pt idx="4">
                  <c:v>Thìa/cốc (PP)</c:v>
                </c:pt>
                <c:pt idx="5">
                  <c:v>Nước ngọt (PET)</c:v>
                </c:pt>
                <c:pt idx="6">
                  <c:v>Bao tải (PP)</c:v>
                </c:pt>
                <c:pt idx="7">
                  <c:v>Mút xốp (PS)</c:v>
                </c:pt>
                <c:pt idx="8">
                  <c:v>Hộp thức ăn (PS)</c:v>
                </c:pt>
                <c:pt idx="9">
                  <c:v>Túi nilong (HDPE)</c:v>
                </c:pt>
              </c:strCache>
            </c:strRef>
          </c:cat>
          <c:val>
            <c:numRef>
              <c:f>'5.W type distribution @ sources'!$AC$24:$AC$33</c:f>
              <c:numCache>
                <c:formatCode>General</c:formatCode>
                <c:ptCount val="10"/>
                <c:pt idx="0">
                  <c:v>0.1</c:v>
                </c:pt>
                <c:pt idx="1">
                  <c:v>0.85</c:v>
                </c:pt>
                <c:pt idx="2">
                  <c:v>0.85</c:v>
                </c:pt>
                <c:pt idx="3">
                  <c:v>1.2</c:v>
                </c:pt>
                <c:pt idx="4">
                  <c:v>1.2000000000000002</c:v>
                </c:pt>
                <c:pt idx="5">
                  <c:v>1.2000000000000002</c:v>
                </c:pt>
                <c:pt idx="6">
                  <c:v>1.2999999999999998</c:v>
                </c:pt>
                <c:pt idx="7">
                  <c:v>1.65</c:v>
                </c:pt>
                <c:pt idx="8">
                  <c:v>2.0499999999999998</c:v>
                </c:pt>
                <c:pt idx="9">
                  <c:v>6.25</c:v>
                </c:pt>
              </c:numCache>
            </c:numRef>
          </c:val>
          <c:extLst>
            <c:ext xmlns:c16="http://schemas.microsoft.com/office/drawing/2014/chart" uri="{C3380CC4-5D6E-409C-BE32-E72D297353CC}">
              <c16:uniqueId val="{00000000-33F3-6543-A4F2-AF9A73E374AC}"/>
            </c:ext>
          </c:extLst>
        </c:ser>
        <c:dLbls>
          <c:showLegendKey val="0"/>
          <c:showVal val="0"/>
          <c:showCatName val="0"/>
          <c:showSerName val="0"/>
          <c:showPercent val="0"/>
          <c:showBubbleSize val="0"/>
        </c:dLbls>
        <c:gapWidth val="150"/>
        <c:axId val="1163570960"/>
        <c:axId val="246082687"/>
      </c:barChart>
      <c:catAx>
        <c:axId val="11635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082687"/>
        <c:crosses val="autoZero"/>
        <c:auto val="1"/>
        <c:lblAlgn val="ctr"/>
        <c:lblOffset val="100"/>
        <c:noMultiLvlLbl val="0"/>
      </c:catAx>
      <c:valAx>
        <c:axId val="246082687"/>
        <c:scaling>
          <c:orientation val="minMax"/>
          <c:max val="6.5"/>
          <c:min val="0"/>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570960"/>
        <c:crosses val="autoZero"/>
        <c:crossBetween val="between"/>
        <c:majorUnit val="1"/>
      </c:valAx>
      <c:spPr>
        <a:noFill/>
        <a:ln>
          <a:solidFill>
            <a:schemeClr val="bg1">
              <a:lumMod val="85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3</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sources'!$AE$24:$AE$31</c:f>
              <c:strCache>
                <c:ptCount val="8"/>
                <c:pt idx="0">
                  <c:v>Nước suối (PET)</c:v>
                </c:pt>
                <c:pt idx="1">
                  <c:v>Vỏ gia vị (LDPE)</c:v>
                </c:pt>
                <c:pt idx="2">
                  <c:v>Nước ngọt (PET)</c:v>
                </c:pt>
                <c:pt idx="3">
                  <c:v>Bao tải (PP)</c:v>
                </c:pt>
                <c:pt idx="4">
                  <c:v>PVC</c:v>
                </c:pt>
                <c:pt idx="5">
                  <c:v>Mút xốp (PS)</c:v>
                </c:pt>
                <c:pt idx="6">
                  <c:v>Túi nilong (HDPE)</c:v>
                </c:pt>
                <c:pt idx="7">
                  <c:v>Thìa/cốc (PP)</c:v>
                </c:pt>
              </c:strCache>
            </c:strRef>
          </c:cat>
          <c:val>
            <c:numRef>
              <c:f>'5.W type distribution @ sources'!$AF$24:$AF$31</c:f>
              <c:numCache>
                <c:formatCode>General</c:formatCode>
                <c:ptCount val="8"/>
                <c:pt idx="0">
                  <c:v>0.2</c:v>
                </c:pt>
                <c:pt idx="1">
                  <c:v>0.2</c:v>
                </c:pt>
                <c:pt idx="2">
                  <c:v>0.3</c:v>
                </c:pt>
                <c:pt idx="3">
                  <c:v>0.5</c:v>
                </c:pt>
                <c:pt idx="4">
                  <c:v>1</c:v>
                </c:pt>
                <c:pt idx="5">
                  <c:v>2</c:v>
                </c:pt>
                <c:pt idx="6">
                  <c:v>8.5</c:v>
                </c:pt>
                <c:pt idx="7">
                  <c:v>9</c:v>
                </c:pt>
              </c:numCache>
            </c:numRef>
          </c:val>
          <c:extLst>
            <c:ext xmlns:c16="http://schemas.microsoft.com/office/drawing/2014/chart" uri="{C3380CC4-5D6E-409C-BE32-E72D297353CC}">
              <c16:uniqueId val="{00000000-6F65-4A4A-9842-A003AC6A303C}"/>
            </c:ext>
          </c:extLst>
        </c:ser>
        <c:dLbls>
          <c:showLegendKey val="0"/>
          <c:showVal val="0"/>
          <c:showCatName val="0"/>
          <c:showSerName val="0"/>
          <c:showPercent val="0"/>
          <c:showBubbleSize val="0"/>
        </c:dLbls>
        <c:gapWidth val="150"/>
        <c:axId val="1163570960"/>
        <c:axId val="246082687"/>
      </c:barChart>
      <c:catAx>
        <c:axId val="11635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082687"/>
        <c:crosses val="autoZero"/>
        <c:auto val="1"/>
        <c:lblAlgn val="ctr"/>
        <c:lblOffset val="100"/>
        <c:noMultiLvlLbl val="0"/>
      </c:catAx>
      <c:valAx>
        <c:axId val="246082687"/>
        <c:scaling>
          <c:orientation val="minMax"/>
          <c:max val="9.5"/>
          <c:min val="0"/>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570960"/>
        <c:crosses val="autoZero"/>
        <c:crossBetween val="between"/>
        <c:majorUnit val="1"/>
      </c:valAx>
      <c:spPr>
        <a:noFill/>
        <a:ln>
          <a:solidFill>
            <a:schemeClr val="bg1">
              <a:lumMod val="85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4</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sources'!$AH$24:$AH$30</c:f>
              <c:strCache>
                <c:ptCount val="7"/>
                <c:pt idx="0">
                  <c:v>Vỏ gia vị (LDPE)</c:v>
                </c:pt>
                <c:pt idx="1">
                  <c:v>PVC</c:v>
                </c:pt>
                <c:pt idx="2">
                  <c:v>Nước suối (PET)</c:v>
                </c:pt>
                <c:pt idx="3">
                  <c:v>Nước ngọt (PET)</c:v>
                </c:pt>
                <c:pt idx="4">
                  <c:v>Bao tải (PP)</c:v>
                </c:pt>
                <c:pt idx="5">
                  <c:v>Mút xốp (PS)</c:v>
                </c:pt>
                <c:pt idx="6">
                  <c:v>Túi nilong (HDPE)</c:v>
                </c:pt>
              </c:strCache>
            </c:strRef>
          </c:cat>
          <c:val>
            <c:numRef>
              <c:f>'5.W type distribution @ sources'!$AI$24:$AI$30</c:f>
              <c:numCache>
                <c:formatCode>General</c:formatCode>
                <c:ptCount val="7"/>
                <c:pt idx="0">
                  <c:v>0.15</c:v>
                </c:pt>
                <c:pt idx="1">
                  <c:v>0.25</c:v>
                </c:pt>
                <c:pt idx="2">
                  <c:v>0.6</c:v>
                </c:pt>
                <c:pt idx="3">
                  <c:v>0.7</c:v>
                </c:pt>
                <c:pt idx="4">
                  <c:v>0.9</c:v>
                </c:pt>
                <c:pt idx="5">
                  <c:v>1.5</c:v>
                </c:pt>
                <c:pt idx="6">
                  <c:v>3.1</c:v>
                </c:pt>
              </c:numCache>
            </c:numRef>
          </c:val>
          <c:extLst>
            <c:ext xmlns:c16="http://schemas.microsoft.com/office/drawing/2014/chart" uri="{C3380CC4-5D6E-409C-BE32-E72D297353CC}">
              <c16:uniqueId val="{00000000-3982-824F-B323-27A86002F294}"/>
            </c:ext>
          </c:extLst>
        </c:ser>
        <c:dLbls>
          <c:showLegendKey val="0"/>
          <c:showVal val="0"/>
          <c:showCatName val="0"/>
          <c:showSerName val="0"/>
          <c:showPercent val="0"/>
          <c:showBubbleSize val="0"/>
        </c:dLbls>
        <c:gapWidth val="150"/>
        <c:axId val="1163570960"/>
        <c:axId val="246082687"/>
      </c:barChart>
      <c:catAx>
        <c:axId val="11635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082687"/>
        <c:crosses val="autoZero"/>
        <c:auto val="1"/>
        <c:lblAlgn val="ctr"/>
        <c:lblOffset val="100"/>
        <c:noMultiLvlLbl val="0"/>
      </c:catAx>
      <c:valAx>
        <c:axId val="246082687"/>
        <c:scaling>
          <c:orientation val="minMax"/>
          <c:max val="3.5"/>
          <c:min val="0"/>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570960"/>
        <c:crosses val="autoZero"/>
        <c:crossBetween val="between"/>
      </c:valAx>
      <c:spPr>
        <a:noFill/>
        <a:ln>
          <a:solidFill>
            <a:schemeClr val="bg1">
              <a:lumMod val="85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5</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sources'!$AK$24:$AK$36</c:f>
              <c:strCache>
                <c:ptCount val="13"/>
                <c:pt idx="0">
                  <c:v>Sản phẩm PET khác</c:v>
                </c:pt>
                <c:pt idx="1">
                  <c:v>PVC</c:v>
                </c:pt>
                <c:pt idx="2">
                  <c:v>Chai dầu gội (HDPE)i</c:v>
                </c:pt>
                <c:pt idx="3">
                  <c:v>Hộp mỹ phẩm (HDPE)</c:v>
                </c:pt>
                <c:pt idx="4">
                  <c:v>Túi nhựa (LDPE)</c:v>
                </c:pt>
                <c:pt idx="5">
                  <c:v>Vỏ gia vị (LDPE)</c:v>
                </c:pt>
                <c:pt idx="6">
                  <c:v>Hộp thức ăn (PS)</c:v>
                </c:pt>
                <c:pt idx="7">
                  <c:v>Thìa/cốc (PP)</c:v>
                </c:pt>
                <c:pt idx="8">
                  <c:v>Nước ngọt (PET)</c:v>
                </c:pt>
                <c:pt idx="9">
                  <c:v>Nước suối (PET)</c:v>
                </c:pt>
                <c:pt idx="10">
                  <c:v>Mút xốp (PS)</c:v>
                </c:pt>
                <c:pt idx="11">
                  <c:v>Túi nilong (HDPE)</c:v>
                </c:pt>
                <c:pt idx="12">
                  <c:v>Bao tải (PP)</c:v>
                </c:pt>
              </c:strCache>
            </c:strRef>
          </c:cat>
          <c:val>
            <c:numRef>
              <c:f>'5.W type distribution @ sources'!$AL$24:$AL$36</c:f>
              <c:numCache>
                <c:formatCode>General</c:formatCode>
                <c:ptCount val="13"/>
                <c:pt idx="0">
                  <c:v>0.3</c:v>
                </c:pt>
                <c:pt idx="1">
                  <c:v>0.9</c:v>
                </c:pt>
                <c:pt idx="2">
                  <c:v>1.325</c:v>
                </c:pt>
                <c:pt idx="3">
                  <c:v>1.325</c:v>
                </c:pt>
                <c:pt idx="4">
                  <c:v>1.75</c:v>
                </c:pt>
                <c:pt idx="5">
                  <c:v>1.75</c:v>
                </c:pt>
                <c:pt idx="6">
                  <c:v>3.3</c:v>
                </c:pt>
                <c:pt idx="7">
                  <c:v>3.5</c:v>
                </c:pt>
                <c:pt idx="8">
                  <c:v>3.5999999999999996</c:v>
                </c:pt>
                <c:pt idx="9">
                  <c:v>3.8</c:v>
                </c:pt>
                <c:pt idx="10">
                  <c:v>11</c:v>
                </c:pt>
                <c:pt idx="11">
                  <c:v>25.299999999999997</c:v>
                </c:pt>
                <c:pt idx="12">
                  <c:v>25.5</c:v>
                </c:pt>
              </c:numCache>
            </c:numRef>
          </c:val>
          <c:extLst>
            <c:ext xmlns:c16="http://schemas.microsoft.com/office/drawing/2014/chart" uri="{C3380CC4-5D6E-409C-BE32-E72D297353CC}">
              <c16:uniqueId val="{00000000-16EF-C249-B8B6-D7D3A59C171F}"/>
            </c:ext>
          </c:extLst>
        </c:ser>
        <c:dLbls>
          <c:showLegendKey val="0"/>
          <c:showVal val="0"/>
          <c:showCatName val="0"/>
          <c:showSerName val="0"/>
          <c:showPercent val="0"/>
          <c:showBubbleSize val="0"/>
        </c:dLbls>
        <c:gapWidth val="150"/>
        <c:axId val="1163570960"/>
        <c:axId val="246082687"/>
      </c:barChart>
      <c:catAx>
        <c:axId val="11635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082687"/>
        <c:crosses val="autoZero"/>
        <c:auto val="1"/>
        <c:lblAlgn val="ctr"/>
        <c:lblOffset val="100"/>
        <c:noMultiLvlLbl val="0"/>
      </c:catAx>
      <c:valAx>
        <c:axId val="246082687"/>
        <c:scaling>
          <c:orientation val="minMax"/>
          <c:max val="26"/>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Khối</a:t>
                </a:r>
                <a:r>
                  <a:rPr lang="en-US" baseline="0"/>
                  <a:t> lượng (kg)</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570960"/>
        <c:crosses val="autoZero"/>
        <c:crossBetween val="between"/>
        <c:majorUnit val="2"/>
      </c:valAx>
      <c:spPr>
        <a:noFill/>
        <a:ln>
          <a:solidFill>
            <a:schemeClr val="bg1">
              <a:lumMod val="85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6</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sources'!$AN$24:$AN$36</c:f>
              <c:strCache>
                <c:ptCount val="13"/>
                <c:pt idx="0">
                  <c:v>Hộp mỹ phẩm (HDPE)</c:v>
                </c:pt>
                <c:pt idx="1">
                  <c:v>Sản phẩm PP khác</c:v>
                </c:pt>
                <c:pt idx="2">
                  <c:v>Nước ngọt (PET)</c:v>
                </c:pt>
                <c:pt idx="3">
                  <c:v>Nước suối (PET)</c:v>
                </c:pt>
                <c:pt idx="4">
                  <c:v>Chai dầu gội (HDPE)</c:v>
                </c:pt>
                <c:pt idx="5">
                  <c:v>PVC</c:v>
                </c:pt>
                <c:pt idx="6">
                  <c:v>Hộp thức ăn (PS)</c:v>
                </c:pt>
                <c:pt idx="7">
                  <c:v>Vỏ gia vị (LDPE)</c:v>
                </c:pt>
                <c:pt idx="8">
                  <c:v>Thìa/cốc (PP)</c:v>
                </c:pt>
                <c:pt idx="9">
                  <c:v>Mút xốp (PS)</c:v>
                </c:pt>
                <c:pt idx="10">
                  <c:v>Bao tải (PP)</c:v>
                </c:pt>
                <c:pt idx="11">
                  <c:v>Túi nhựa (LDPE)</c:v>
                </c:pt>
                <c:pt idx="12">
                  <c:v>Túi nilong (HDPE)</c:v>
                </c:pt>
              </c:strCache>
            </c:strRef>
          </c:cat>
          <c:val>
            <c:numRef>
              <c:f>'5.W type distribution @ sources'!$AO$24:$AO$36</c:f>
              <c:numCache>
                <c:formatCode>General</c:formatCode>
                <c:ptCount val="13"/>
                <c:pt idx="0">
                  <c:v>0.1</c:v>
                </c:pt>
                <c:pt idx="1">
                  <c:v>0.3</c:v>
                </c:pt>
                <c:pt idx="2">
                  <c:v>0.65</c:v>
                </c:pt>
                <c:pt idx="3">
                  <c:v>0.65</c:v>
                </c:pt>
                <c:pt idx="4">
                  <c:v>0.9</c:v>
                </c:pt>
                <c:pt idx="5">
                  <c:v>1.3</c:v>
                </c:pt>
                <c:pt idx="6">
                  <c:v>2.7</c:v>
                </c:pt>
                <c:pt idx="7">
                  <c:v>3.75</c:v>
                </c:pt>
                <c:pt idx="8">
                  <c:v>3.8</c:v>
                </c:pt>
                <c:pt idx="9">
                  <c:v>5.55</c:v>
                </c:pt>
                <c:pt idx="10">
                  <c:v>7.95</c:v>
                </c:pt>
                <c:pt idx="11">
                  <c:v>9.4600000000000009</c:v>
                </c:pt>
                <c:pt idx="12">
                  <c:v>23</c:v>
                </c:pt>
              </c:numCache>
            </c:numRef>
          </c:val>
          <c:extLst>
            <c:ext xmlns:c16="http://schemas.microsoft.com/office/drawing/2014/chart" uri="{C3380CC4-5D6E-409C-BE32-E72D297353CC}">
              <c16:uniqueId val="{00000000-09E3-3741-BE2D-60532D553909}"/>
            </c:ext>
          </c:extLst>
        </c:ser>
        <c:dLbls>
          <c:showLegendKey val="0"/>
          <c:showVal val="0"/>
          <c:showCatName val="0"/>
          <c:showSerName val="0"/>
          <c:showPercent val="0"/>
          <c:showBubbleSize val="0"/>
        </c:dLbls>
        <c:gapWidth val="150"/>
        <c:axId val="1163570960"/>
        <c:axId val="246082687"/>
      </c:barChart>
      <c:catAx>
        <c:axId val="11635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082687"/>
        <c:crosses val="autoZero"/>
        <c:auto val="1"/>
        <c:lblAlgn val="ctr"/>
        <c:lblOffset val="100"/>
        <c:noMultiLvlLbl val="0"/>
      </c:catAx>
      <c:valAx>
        <c:axId val="246082687"/>
        <c:scaling>
          <c:orientation val="minMax"/>
          <c:max val="24"/>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Khối</a:t>
                </a:r>
                <a:r>
                  <a:rPr lang="en-US" baseline="0"/>
                  <a:t> lượng (kg)</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570960"/>
        <c:crosses val="autoZero"/>
        <c:crossBetween val="between"/>
        <c:majorUnit val="2"/>
      </c:valAx>
      <c:spPr>
        <a:noFill/>
        <a:ln>
          <a:solidFill>
            <a:schemeClr val="bg1">
              <a:lumMod val="85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1</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sources'!$I$57:$O$57</c:f>
              <c:strCache>
                <c:ptCount val="7"/>
                <c:pt idx="0">
                  <c:v>Nhựa khác</c:v>
                </c:pt>
                <c:pt idx="1">
                  <c:v>PVC</c:v>
                </c:pt>
                <c:pt idx="2">
                  <c:v>LDPE</c:v>
                </c:pt>
                <c:pt idx="3">
                  <c:v>PET</c:v>
                </c:pt>
                <c:pt idx="4">
                  <c:v>PP</c:v>
                </c:pt>
                <c:pt idx="5">
                  <c:v>PS</c:v>
                </c:pt>
                <c:pt idx="6">
                  <c:v>HDPE</c:v>
                </c:pt>
              </c:strCache>
            </c:strRef>
          </c:cat>
          <c:val>
            <c:numRef>
              <c:f>'5.W type distribution @ sources'!$I$58:$O$58</c:f>
              <c:numCache>
                <c:formatCode>General</c:formatCode>
                <c:ptCount val="7"/>
                <c:pt idx="0">
                  <c:v>0</c:v>
                </c:pt>
                <c:pt idx="1">
                  <c:v>0</c:v>
                </c:pt>
                <c:pt idx="2">
                  <c:v>1.7</c:v>
                </c:pt>
                <c:pt idx="3">
                  <c:v>2.4000000000000004</c:v>
                </c:pt>
                <c:pt idx="4">
                  <c:v>2.5</c:v>
                </c:pt>
                <c:pt idx="5">
                  <c:v>3.6999999999999997</c:v>
                </c:pt>
                <c:pt idx="6">
                  <c:v>6.35</c:v>
                </c:pt>
              </c:numCache>
            </c:numRef>
          </c:val>
          <c:extLst>
            <c:ext xmlns:c16="http://schemas.microsoft.com/office/drawing/2014/chart" uri="{C3380CC4-5D6E-409C-BE32-E72D297353CC}">
              <c16:uniqueId val="{00000000-9235-9F47-935B-AF39827BDA87}"/>
            </c:ext>
          </c:extLst>
        </c:ser>
        <c:dLbls>
          <c:showLegendKey val="0"/>
          <c:showVal val="0"/>
          <c:showCatName val="0"/>
          <c:showSerName val="0"/>
          <c:showPercent val="0"/>
          <c:showBubbleSize val="0"/>
        </c:dLbls>
        <c:gapWidth val="150"/>
        <c:axId val="232903312"/>
        <c:axId val="232879760"/>
      </c:barChart>
      <c:catAx>
        <c:axId val="232903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879760"/>
        <c:crosses val="autoZero"/>
        <c:auto val="1"/>
        <c:lblAlgn val="ctr"/>
        <c:lblOffset val="100"/>
        <c:noMultiLvlLbl val="0"/>
      </c:catAx>
      <c:valAx>
        <c:axId val="232879760"/>
        <c:scaling>
          <c:orientation val="minMax"/>
          <c:max val="6.5"/>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9033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3</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sources'!$I$59:$O$59</c:f>
              <c:strCache>
                <c:ptCount val="7"/>
                <c:pt idx="0">
                  <c:v>Nhựa khác</c:v>
                </c:pt>
                <c:pt idx="1">
                  <c:v>LDPE</c:v>
                </c:pt>
                <c:pt idx="2">
                  <c:v>PET</c:v>
                </c:pt>
                <c:pt idx="3">
                  <c:v>PVC</c:v>
                </c:pt>
                <c:pt idx="4">
                  <c:v>PS</c:v>
                </c:pt>
                <c:pt idx="5">
                  <c:v>HDPE</c:v>
                </c:pt>
                <c:pt idx="6">
                  <c:v>PP</c:v>
                </c:pt>
              </c:strCache>
            </c:strRef>
          </c:cat>
          <c:val>
            <c:numRef>
              <c:f>'5.W type distribution @ sources'!$I$60:$O$60</c:f>
              <c:numCache>
                <c:formatCode>General</c:formatCode>
                <c:ptCount val="7"/>
                <c:pt idx="0">
                  <c:v>0</c:v>
                </c:pt>
                <c:pt idx="1">
                  <c:v>0.2</c:v>
                </c:pt>
                <c:pt idx="2">
                  <c:v>0.5</c:v>
                </c:pt>
                <c:pt idx="3">
                  <c:v>1</c:v>
                </c:pt>
                <c:pt idx="4">
                  <c:v>2</c:v>
                </c:pt>
                <c:pt idx="5">
                  <c:v>8.5</c:v>
                </c:pt>
                <c:pt idx="6">
                  <c:v>9.5</c:v>
                </c:pt>
              </c:numCache>
            </c:numRef>
          </c:val>
          <c:extLst>
            <c:ext xmlns:c16="http://schemas.microsoft.com/office/drawing/2014/chart" uri="{C3380CC4-5D6E-409C-BE32-E72D297353CC}">
              <c16:uniqueId val="{00000000-9A59-1449-9374-0B4C38F3995E}"/>
            </c:ext>
          </c:extLst>
        </c:ser>
        <c:dLbls>
          <c:showLegendKey val="0"/>
          <c:showVal val="0"/>
          <c:showCatName val="0"/>
          <c:showSerName val="0"/>
          <c:showPercent val="0"/>
          <c:showBubbleSize val="0"/>
        </c:dLbls>
        <c:gapWidth val="150"/>
        <c:axId val="256126687"/>
        <c:axId val="562965839"/>
      </c:barChart>
      <c:catAx>
        <c:axId val="2561266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965839"/>
        <c:crosses val="autoZero"/>
        <c:auto val="1"/>
        <c:lblAlgn val="ctr"/>
        <c:lblOffset val="100"/>
        <c:noMultiLvlLbl val="0"/>
      </c:catAx>
      <c:valAx>
        <c:axId val="5629658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612668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4</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sources'!$I$61:$O$61</c:f>
              <c:strCache>
                <c:ptCount val="7"/>
                <c:pt idx="0">
                  <c:v>Nhựa khác</c:v>
                </c:pt>
                <c:pt idx="1">
                  <c:v>LDPE</c:v>
                </c:pt>
                <c:pt idx="2">
                  <c:v>PVC</c:v>
                </c:pt>
                <c:pt idx="3">
                  <c:v>PP</c:v>
                </c:pt>
                <c:pt idx="4">
                  <c:v>PET</c:v>
                </c:pt>
                <c:pt idx="5">
                  <c:v>PS</c:v>
                </c:pt>
                <c:pt idx="6">
                  <c:v>HDPE</c:v>
                </c:pt>
              </c:strCache>
            </c:strRef>
          </c:cat>
          <c:val>
            <c:numRef>
              <c:f>'5.W type distribution @ sources'!$I$62:$O$62</c:f>
              <c:numCache>
                <c:formatCode>General</c:formatCode>
                <c:ptCount val="7"/>
                <c:pt idx="0">
                  <c:v>0</c:v>
                </c:pt>
                <c:pt idx="1">
                  <c:v>0.15</c:v>
                </c:pt>
                <c:pt idx="2">
                  <c:v>0.25</c:v>
                </c:pt>
                <c:pt idx="3">
                  <c:v>0.9</c:v>
                </c:pt>
                <c:pt idx="4">
                  <c:v>1.2999999999999998</c:v>
                </c:pt>
                <c:pt idx="5">
                  <c:v>1.5</c:v>
                </c:pt>
                <c:pt idx="6">
                  <c:v>3.1</c:v>
                </c:pt>
              </c:numCache>
            </c:numRef>
          </c:val>
          <c:extLst>
            <c:ext xmlns:c16="http://schemas.microsoft.com/office/drawing/2014/chart" uri="{C3380CC4-5D6E-409C-BE32-E72D297353CC}">
              <c16:uniqueId val="{00000000-052A-504F-9681-4F6C5F35D484}"/>
            </c:ext>
          </c:extLst>
        </c:ser>
        <c:dLbls>
          <c:showLegendKey val="0"/>
          <c:showVal val="0"/>
          <c:showCatName val="0"/>
          <c:showSerName val="0"/>
          <c:showPercent val="0"/>
          <c:showBubbleSize val="0"/>
        </c:dLbls>
        <c:gapWidth val="182"/>
        <c:axId val="631364559"/>
        <c:axId val="128945119"/>
      </c:barChart>
      <c:catAx>
        <c:axId val="6313645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45119"/>
        <c:crosses val="autoZero"/>
        <c:auto val="1"/>
        <c:lblAlgn val="ctr"/>
        <c:lblOffset val="100"/>
        <c:noMultiLvlLbl val="0"/>
      </c:catAx>
      <c:valAx>
        <c:axId val="1289451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36455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5</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sources'!$I$63:$O$63</c:f>
              <c:strCache>
                <c:ptCount val="7"/>
                <c:pt idx="0">
                  <c:v>Nhựa khác</c:v>
                </c:pt>
                <c:pt idx="1">
                  <c:v>PVC</c:v>
                </c:pt>
                <c:pt idx="2">
                  <c:v>LDPE</c:v>
                </c:pt>
                <c:pt idx="3">
                  <c:v>PET</c:v>
                </c:pt>
                <c:pt idx="4">
                  <c:v>PS</c:v>
                </c:pt>
                <c:pt idx="5">
                  <c:v>HDPE</c:v>
                </c:pt>
                <c:pt idx="6">
                  <c:v>PP</c:v>
                </c:pt>
              </c:strCache>
            </c:strRef>
          </c:cat>
          <c:val>
            <c:numRef>
              <c:f>'5.W type distribution @ sources'!$I$64:$O$64</c:f>
              <c:numCache>
                <c:formatCode>General</c:formatCode>
                <c:ptCount val="7"/>
                <c:pt idx="0">
                  <c:v>0</c:v>
                </c:pt>
                <c:pt idx="1">
                  <c:v>0.9</c:v>
                </c:pt>
                <c:pt idx="2">
                  <c:v>3.5</c:v>
                </c:pt>
                <c:pt idx="3">
                  <c:v>7.6999999999999993</c:v>
                </c:pt>
                <c:pt idx="4">
                  <c:v>14.3</c:v>
                </c:pt>
                <c:pt idx="5">
                  <c:v>27.949999999999996</c:v>
                </c:pt>
                <c:pt idx="6">
                  <c:v>29</c:v>
                </c:pt>
              </c:numCache>
            </c:numRef>
          </c:val>
          <c:extLst>
            <c:ext xmlns:c16="http://schemas.microsoft.com/office/drawing/2014/chart" uri="{C3380CC4-5D6E-409C-BE32-E72D297353CC}">
              <c16:uniqueId val="{00000000-CD9E-B844-936B-08C587470631}"/>
            </c:ext>
          </c:extLst>
        </c:ser>
        <c:dLbls>
          <c:showLegendKey val="0"/>
          <c:showVal val="0"/>
          <c:showCatName val="0"/>
          <c:showSerName val="0"/>
          <c:showPercent val="0"/>
          <c:showBubbleSize val="0"/>
        </c:dLbls>
        <c:gapWidth val="150"/>
        <c:axId val="255999903"/>
        <c:axId val="178240847"/>
      </c:barChart>
      <c:catAx>
        <c:axId val="2559999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40847"/>
        <c:crosses val="autoZero"/>
        <c:auto val="1"/>
        <c:lblAlgn val="ctr"/>
        <c:lblOffset val="100"/>
        <c:noMultiLvlLbl val="0"/>
      </c:catAx>
      <c:valAx>
        <c:axId val="178240847"/>
        <c:scaling>
          <c:orientation val="minMax"/>
          <c:max val="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Khối</a:t>
                </a:r>
                <a:r>
                  <a:rPr lang="en-US" baseline="0"/>
                  <a:t> lượng nhựa (kg)</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99990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Điểm</a:t>
            </a:r>
            <a:r>
              <a:rPr lang="en-US" sz="1000" baseline="0"/>
              <a:t> 6</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'5.W type distribution @ sources'!$I$67:$O$67</c:f>
              <c:strCache>
                <c:ptCount val="7"/>
                <c:pt idx="0">
                  <c:v>Nhựa khác</c:v>
                </c:pt>
                <c:pt idx="1">
                  <c:v>PVC</c:v>
                </c:pt>
                <c:pt idx="2">
                  <c:v>PET</c:v>
                </c:pt>
                <c:pt idx="3">
                  <c:v>PS</c:v>
                </c:pt>
                <c:pt idx="4">
                  <c:v>PP</c:v>
                </c:pt>
                <c:pt idx="5">
                  <c:v>LDPE</c:v>
                </c:pt>
                <c:pt idx="6">
                  <c:v>HDPE</c:v>
                </c:pt>
              </c:strCache>
            </c:strRef>
          </c:cat>
          <c:val>
            <c:numRef>
              <c:f>'5.W type distribution @ sources'!$I$68:$O$68</c:f>
              <c:numCache>
                <c:formatCode>General</c:formatCode>
                <c:ptCount val="7"/>
                <c:pt idx="0">
                  <c:v>0</c:v>
                </c:pt>
                <c:pt idx="1">
                  <c:v>1.3</c:v>
                </c:pt>
                <c:pt idx="2" formatCode="0.0">
                  <c:v>1.3</c:v>
                </c:pt>
                <c:pt idx="3">
                  <c:v>8.25</c:v>
                </c:pt>
                <c:pt idx="4">
                  <c:v>12.05</c:v>
                </c:pt>
                <c:pt idx="5" formatCode="0.0">
                  <c:v>13.21</c:v>
                </c:pt>
                <c:pt idx="6">
                  <c:v>24</c:v>
                </c:pt>
              </c:numCache>
            </c:numRef>
          </c:val>
          <c:extLst>
            <c:ext xmlns:c16="http://schemas.microsoft.com/office/drawing/2014/chart" uri="{C3380CC4-5D6E-409C-BE32-E72D297353CC}">
              <c16:uniqueId val="{00000000-C89F-C344-B7EC-0A0EBC2DA493}"/>
            </c:ext>
          </c:extLst>
        </c:ser>
        <c:dLbls>
          <c:showLegendKey val="0"/>
          <c:showVal val="0"/>
          <c:showCatName val="0"/>
          <c:showSerName val="0"/>
          <c:showPercent val="0"/>
          <c:showBubbleSize val="0"/>
        </c:dLbls>
        <c:gapWidth val="150"/>
        <c:axId val="268182127"/>
        <c:axId val="177611807"/>
      </c:barChart>
      <c:catAx>
        <c:axId val="2681821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11807"/>
        <c:crosses val="autoZero"/>
        <c:auto val="1"/>
        <c:lblAlgn val="ctr"/>
        <c:lblOffset val="100"/>
        <c:noMultiLvlLbl val="0"/>
      </c:catAx>
      <c:valAx>
        <c:axId val="177611807"/>
        <c:scaling>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Khối</a:t>
                </a:r>
                <a:r>
                  <a:rPr lang="en-US" baseline="0"/>
                  <a:t> lượng nhựa (kg)</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18212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77777777777778"/>
          <c:y val="4.2060367454068229E-2"/>
          <c:w val="0.79823031496062991"/>
          <c:h val="0.79973802952904927"/>
        </c:manualLayout>
      </c:layout>
      <c:barChart>
        <c:barDir val="col"/>
        <c:grouping val="clustered"/>
        <c:varyColors val="0"/>
        <c:ser>
          <c:idx val="0"/>
          <c:order val="0"/>
          <c:tx>
            <c:v>Tổng chất thải</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Ref>
                <c:f>'[2]Waste Generation at Sources'!$D$22:$D$26</c:f>
                <c:numCache>
                  <c:formatCode>General</c:formatCode>
                  <c:ptCount val="5"/>
                  <c:pt idx="0">
                    <c:v>0</c:v>
                  </c:pt>
                  <c:pt idx="1">
                    <c:v>0</c:v>
                  </c:pt>
                  <c:pt idx="2">
                    <c:v>0</c:v>
                  </c:pt>
                  <c:pt idx="3">
                    <c:v>0</c:v>
                  </c:pt>
                  <c:pt idx="4">
                    <c:v>0</c:v>
                  </c:pt>
                </c:numCache>
              </c:numRef>
            </c:plus>
            <c:minus>
              <c:numRef>
                <c:f>'[2]Waste Generation at Sources'!$D$22:$D$26</c:f>
                <c:numCache>
                  <c:formatCode>General</c:formatCode>
                  <c:ptCount val="5"/>
                  <c:pt idx="0">
                    <c:v>0</c:v>
                  </c:pt>
                  <c:pt idx="1">
                    <c:v>0</c:v>
                  </c:pt>
                  <c:pt idx="2">
                    <c:v>0</c:v>
                  </c:pt>
                  <c:pt idx="3">
                    <c:v>0</c:v>
                  </c:pt>
                  <c:pt idx="4">
                    <c:v>0</c:v>
                  </c:pt>
                </c:numCache>
              </c:numRef>
            </c:minus>
            <c:spPr>
              <a:noFill/>
              <a:ln w="9525" cap="flat" cmpd="sng" algn="ctr">
                <a:solidFill>
                  <a:schemeClr val="tx1">
                    <a:lumMod val="65000"/>
                    <a:lumOff val="35000"/>
                  </a:schemeClr>
                </a:solidFill>
                <a:round/>
              </a:ln>
              <a:effectLst/>
            </c:spPr>
          </c:errBars>
          <c:cat>
            <c:numRef>
              <c:f>'[2]Waste Generation at Sources'!$B$22:$B$26</c:f>
              <c:numCache>
                <c:formatCode>General</c:formatCode>
                <c:ptCount val="5"/>
                <c:pt idx="0">
                  <c:v>0</c:v>
                </c:pt>
                <c:pt idx="1">
                  <c:v>0</c:v>
                </c:pt>
                <c:pt idx="2">
                  <c:v>0</c:v>
                </c:pt>
                <c:pt idx="3">
                  <c:v>0</c:v>
                </c:pt>
                <c:pt idx="4">
                  <c:v>0</c:v>
                </c:pt>
              </c:numCache>
            </c:numRef>
          </c:cat>
          <c:val>
            <c:numRef>
              <c:f>'[2]Waste Generation at Sources'!$C$22:$C$26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7A9-2D43-B011-7FEB08B82847}"/>
            </c:ext>
          </c:extLst>
        </c:ser>
        <c:ser>
          <c:idx val="1"/>
          <c:order val="1"/>
          <c:tx>
            <c:v>Chất thải nhựa</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'[2]Waste Generation at Sources'!$G$22:$G$26</c:f>
                <c:numCache>
                  <c:formatCode>General</c:formatCode>
                  <c:ptCount val="5"/>
                  <c:pt idx="0">
                    <c:v>0</c:v>
                  </c:pt>
                  <c:pt idx="1">
                    <c:v>0</c:v>
                  </c:pt>
                  <c:pt idx="2">
                    <c:v>0</c:v>
                  </c:pt>
                  <c:pt idx="3">
                    <c:v>0</c:v>
                  </c:pt>
                  <c:pt idx="4">
                    <c:v>0</c:v>
                  </c:pt>
                </c:numCache>
              </c:numRef>
            </c:plus>
            <c:minus>
              <c:numRef>
                <c:f>'[2]Waste Generation at Sources'!$G$22:$G$26</c:f>
                <c:numCache>
                  <c:formatCode>General</c:formatCode>
                  <c:ptCount val="5"/>
                  <c:pt idx="0">
                    <c:v>0</c:v>
                  </c:pt>
                  <c:pt idx="1">
                    <c:v>0</c:v>
                  </c:pt>
                  <c:pt idx="2">
                    <c:v>0</c:v>
                  </c:pt>
                  <c:pt idx="3">
                    <c:v>0</c:v>
                  </c:pt>
                  <c:pt idx="4">
                    <c:v>0</c:v>
                  </c:pt>
                </c:numCache>
              </c:numRef>
            </c:minus>
            <c:spPr>
              <a:noFill/>
              <a:ln w="9525" cap="flat" cmpd="sng" algn="ctr">
                <a:solidFill>
                  <a:schemeClr val="tx1">
                    <a:lumMod val="65000"/>
                    <a:lumOff val="35000"/>
                  </a:schemeClr>
                </a:solidFill>
                <a:round/>
              </a:ln>
              <a:effectLst/>
            </c:spPr>
          </c:errBars>
          <c:cat>
            <c:numRef>
              <c:f>'[2]Waste Generation at Sources'!$B$22:$B$26</c:f>
              <c:numCache>
                <c:formatCode>General</c:formatCode>
                <c:ptCount val="5"/>
                <c:pt idx="0">
                  <c:v>0</c:v>
                </c:pt>
                <c:pt idx="1">
                  <c:v>0</c:v>
                </c:pt>
                <c:pt idx="2">
                  <c:v>0</c:v>
                </c:pt>
                <c:pt idx="3">
                  <c:v>0</c:v>
                </c:pt>
                <c:pt idx="4">
                  <c:v>0</c:v>
                </c:pt>
              </c:numCache>
            </c:numRef>
          </c:cat>
          <c:val>
            <c:numRef>
              <c:f>'[2]Waste Generation at Sources'!$F$22:$F$26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B7A9-2D43-B011-7FEB08B82847}"/>
            </c:ext>
          </c:extLst>
        </c:ser>
        <c:dLbls>
          <c:showLegendKey val="0"/>
          <c:showVal val="0"/>
          <c:showCatName val="0"/>
          <c:showSerName val="0"/>
          <c:showPercent val="0"/>
          <c:showBubbleSize val="0"/>
        </c:dLbls>
        <c:gapWidth val="150"/>
        <c:axId val="465023039"/>
        <c:axId val="464956463"/>
      </c:barChart>
      <c:catAx>
        <c:axId val="4650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956463"/>
        <c:crosses val="autoZero"/>
        <c:auto val="1"/>
        <c:lblAlgn val="ctr"/>
        <c:lblOffset val="100"/>
        <c:noMultiLvlLbl val="0"/>
      </c:catAx>
      <c:valAx>
        <c:axId val="46495646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Tốc độ phát sinh (kg/buổi)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023039"/>
        <c:crosses val="autoZero"/>
        <c:crossBetween val="between"/>
      </c:valAx>
      <c:spPr>
        <a:noFill/>
        <a:ln w="3175">
          <a:solidFill>
            <a:schemeClr val="bg1">
              <a:lumMod val="75000"/>
            </a:schemeClr>
          </a:solidFill>
        </a:ln>
        <a:effectLst/>
      </c:spPr>
    </c:plotArea>
    <c:legend>
      <c:legendPos val="r"/>
      <c:layout>
        <c:manualLayout>
          <c:xMode val="edge"/>
          <c:yMode val="edge"/>
          <c:x val="0.43467475940507433"/>
          <c:y val="0.20913094196558762"/>
          <c:w val="0.29865857392825895"/>
          <c:h val="0.156205890930300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a:t>
            </a:r>
          </a:p>
        </c:rich>
      </c:tx>
      <c:layout>
        <c:manualLayout>
          <c:xMode val="edge"/>
          <c:yMode val="edge"/>
          <c:x val="0.44572642005633029"/>
          <c:y val="4.54007113254755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[3]Sheet1!$H$1:$Y$1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cat>
          <c:val>
            <c:numRef>
              <c:f>[3]Sheet1!$H$2:$Y$2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6EA0-0F47-9372-F39D582813CF}"/>
            </c:ext>
          </c:extLst>
        </c:ser>
        <c:dLbls>
          <c:showLegendKey val="0"/>
          <c:showVal val="0"/>
          <c:showCatName val="0"/>
          <c:showSerName val="0"/>
          <c:showPercent val="0"/>
          <c:showBubbleSize val="0"/>
        </c:dLbls>
        <c:gapWidth val="150"/>
        <c:axId val="1373959887"/>
        <c:axId val="1373961535"/>
      </c:barChart>
      <c:catAx>
        <c:axId val="137395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961535"/>
        <c:crosses val="autoZero"/>
        <c:auto val="1"/>
        <c:lblAlgn val="ctr"/>
        <c:lblOffset val="100"/>
        <c:noMultiLvlLbl val="0"/>
      </c:catAx>
      <c:valAx>
        <c:axId val="1373961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95988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10718943415319"/>
          <c:y val="0.16860167076673702"/>
          <c:w val="0.85479244723401093"/>
          <c:h val="0.50819703821227391"/>
        </c:manualLayout>
      </c:layout>
      <c:barChart>
        <c:barDir val="col"/>
        <c:grouping val="clustered"/>
        <c:varyColors val="0"/>
        <c:ser>
          <c:idx val="0"/>
          <c:order val="0"/>
          <c:tx>
            <c:v>24 - 26/12/2020</c:v>
          </c:tx>
          <c:spPr>
            <a:solidFill>
              <a:schemeClr val="accent1"/>
            </a:solidFill>
            <a:ln>
              <a:noFill/>
            </a:ln>
            <a:effectLst/>
          </c:spPr>
          <c:invertIfNegative val="0"/>
          <c:cat>
            <c:numRef>
              <c:f>[3]Sheet1!$H$1:$Y$1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cat>
          <c:val>
            <c:numRef>
              <c:f>[3]Sheet1!$H$12:$X$12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93A8-734C-A166-1B5212021F0B}"/>
            </c:ext>
          </c:extLst>
        </c:ser>
        <c:ser>
          <c:idx val="1"/>
          <c:order val="1"/>
          <c:tx>
            <c:v>26 - 27/12/2020</c:v>
          </c:tx>
          <c:spPr>
            <a:solidFill>
              <a:schemeClr val="accent2"/>
            </a:solidFill>
            <a:ln>
              <a:noFill/>
            </a:ln>
            <a:effectLst/>
          </c:spPr>
          <c:invertIfNegative val="0"/>
          <c:cat>
            <c:numRef>
              <c:f>[3]Sheet1!$H$1:$Y$1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cat>
          <c:val>
            <c:numRef>
              <c:f>[3]Sheet1!$H$13:$X$13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93A8-734C-A166-1B5212021F0B}"/>
            </c:ext>
          </c:extLst>
        </c:ser>
        <c:dLbls>
          <c:showLegendKey val="0"/>
          <c:showVal val="0"/>
          <c:showCatName val="0"/>
          <c:showSerName val="0"/>
          <c:showPercent val="0"/>
          <c:showBubbleSize val="0"/>
        </c:dLbls>
        <c:gapWidth val="150"/>
        <c:axId val="1374398975"/>
        <c:axId val="297959247"/>
      </c:barChart>
      <c:catAx>
        <c:axId val="1374398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959247"/>
        <c:crosses val="autoZero"/>
        <c:auto val="1"/>
        <c:lblAlgn val="ctr"/>
        <c:lblOffset val="100"/>
        <c:noMultiLvlLbl val="0"/>
      </c:catAx>
      <c:valAx>
        <c:axId val="2979592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Tốc độ phát sinh CT nhựa (kg/ngày)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398975"/>
        <c:crosses val="autoZero"/>
        <c:crossBetween val="between"/>
      </c:valAx>
      <c:spPr>
        <a:noFill/>
        <a:ln>
          <a:noFill/>
        </a:ln>
        <a:effectLst/>
      </c:spPr>
    </c:plotArea>
    <c:legend>
      <c:legendPos val="r"/>
      <c:layout>
        <c:manualLayout>
          <c:xMode val="edge"/>
          <c:yMode val="edge"/>
          <c:x val="0.25977855513440662"/>
          <c:y val="0.25073386008975285"/>
          <c:w val="0.20789217075588315"/>
          <c:h val="0.15620105092981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5B79-F142-97B5-8E9BCEFC2532}"/>
                </c:ext>
              </c:extLst>
            </c:dLbl>
            <c:dLbl>
              <c:idx val="6"/>
              <c:delete val="1"/>
              <c:extLst>
                <c:ext xmlns:c15="http://schemas.microsoft.com/office/drawing/2012/chart" uri="{CE6537A1-D6FC-4f65-9D91-7224C49458BB}"/>
                <c:ext xmlns:c16="http://schemas.microsoft.com/office/drawing/2014/chart" uri="{C3380CC4-5D6E-409C-BE32-E72D297353CC}">
                  <c16:uniqueId val="{00000001-5B79-F142-97B5-8E9BCEFC2532}"/>
                </c:ext>
              </c:extLst>
            </c:dLbl>
            <c:dLbl>
              <c:idx val="8"/>
              <c:delete val="1"/>
              <c:extLst>
                <c:ext xmlns:c15="http://schemas.microsoft.com/office/drawing/2012/chart" uri="{CE6537A1-D6FC-4f65-9D91-7224C49458BB}"/>
                <c:ext xmlns:c16="http://schemas.microsoft.com/office/drawing/2014/chart" uri="{C3380CC4-5D6E-409C-BE32-E72D297353CC}">
                  <c16:uniqueId val="{00000002-5B79-F142-97B5-8E9BCEFC2532}"/>
                </c:ext>
              </c:extLst>
            </c:dLbl>
            <c:dLbl>
              <c:idx val="14"/>
              <c:delete val="1"/>
              <c:extLst>
                <c:ext xmlns:c15="http://schemas.microsoft.com/office/drawing/2012/chart" uri="{CE6537A1-D6FC-4f65-9D91-7224C49458BB}"/>
                <c:ext xmlns:c16="http://schemas.microsoft.com/office/drawing/2014/chart" uri="{C3380CC4-5D6E-409C-BE32-E72D297353CC}">
                  <c16:uniqueId val="{00000003-5B79-F142-97B5-8E9BCEFC2532}"/>
                </c:ext>
              </c:extLst>
            </c:dLbl>
            <c:dLbl>
              <c:idx val="16"/>
              <c:delete val="1"/>
              <c:extLst>
                <c:ext xmlns:c15="http://schemas.microsoft.com/office/drawing/2012/chart" uri="{CE6537A1-D6FC-4f65-9D91-7224C49458BB}"/>
                <c:ext xmlns:c16="http://schemas.microsoft.com/office/drawing/2014/chart" uri="{C3380CC4-5D6E-409C-BE32-E72D297353CC}">
                  <c16:uniqueId val="{00000004-5B79-F142-97B5-8E9BCEFC25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[3]Sheet1!$H$1:$Y$1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cat>
          <c:val>
            <c:numRef>
              <c:f>[3]Sheet1!$H$16:$Y$16</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5B79-F142-97B5-8E9BCEFC2532}"/>
            </c:ext>
          </c:extLst>
        </c:ser>
        <c:dLbls>
          <c:showLegendKey val="0"/>
          <c:showVal val="0"/>
          <c:showCatName val="0"/>
          <c:showSerName val="0"/>
          <c:showPercent val="0"/>
          <c:showBubbleSize val="0"/>
        </c:dLbls>
        <c:gapWidth val="150"/>
        <c:axId val="1408275151"/>
        <c:axId val="1536000895"/>
      </c:barChart>
      <c:catAx>
        <c:axId val="1408275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000895"/>
        <c:crosses val="autoZero"/>
        <c:auto val="1"/>
        <c:lblAlgn val="ctr"/>
        <c:lblOffset val="100"/>
        <c:noMultiLvlLbl val="0"/>
      </c:catAx>
      <c:valAx>
        <c:axId val="15360008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27515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52853032523054"/>
          <c:y val="0.16018257074725659"/>
          <c:w val="0.83034806364109426"/>
          <c:h val="0.54048053861209688"/>
        </c:manualLayout>
      </c:layout>
      <c:barChart>
        <c:barDir val="col"/>
        <c:grouping val="clustered"/>
        <c:varyColors val="0"/>
        <c:ser>
          <c:idx val="0"/>
          <c:order val="0"/>
          <c:tx>
            <c:v>24 - 26/12/2020</c:v>
          </c:tx>
          <c:spPr>
            <a:solidFill>
              <a:schemeClr val="accent1"/>
            </a:solidFill>
            <a:ln>
              <a:noFill/>
            </a:ln>
            <a:effectLst/>
          </c:spPr>
          <c:invertIfNegative val="0"/>
          <c:cat>
            <c:numRef>
              <c:f>[3]Sheet1!$AB$16:$AB$27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[3]Sheet1!$AC$16:$AC$27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57A-364E-B0BF-5C508B7C22B6}"/>
            </c:ext>
          </c:extLst>
        </c:ser>
        <c:ser>
          <c:idx val="1"/>
          <c:order val="1"/>
          <c:tx>
            <c:v>26 - 27/12/2020</c:v>
          </c:tx>
          <c:spPr>
            <a:solidFill>
              <a:schemeClr val="accent2"/>
            </a:solidFill>
            <a:ln>
              <a:noFill/>
            </a:ln>
            <a:effectLst/>
          </c:spPr>
          <c:invertIfNegative val="0"/>
          <c:cat>
            <c:numRef>
              <c:f>[3]Sheet1!$AB$16:$AB$27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[3]Sheet1!$AD$16:$AD$27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57A-364E-B0BF-5C508B7C22B6}"/>
            </c:ext>
          </c:extLst>
        </c:ser>
        <c:dLbls>
          <c:showLegendKey val="0"/>
          <c:showVal val="0"/>
          <c:showCatName val="0"/>
          <c:showSerName val="0"/>
          <c:showPercent val="0"/>
          <c:showBubbleSize val="0"/>
        </c:dLbls>
        <c:gapWidth val="150"/>
        <c:axId val="771687103"/>
        <c:axId val="725164511"/>
      </c:barChart>
      <c:catAx>
        <c:axId val="771687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164511"/>
        <c:crosses val="autoZero"/>
        <c:auto val="1"/>
        <c:lblAlgn val="ctr"/>
        <c:lblOffset val="100"/>
        <c:noMultiLvlLbl val="0"/>
      </c:catAx>
      <c:valAx>
        <c:axId val="72516451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Tốc</a:t>
                </a:r>
                <a:r>
                  <a:rPr lang="en-US" sz="1000" baseline="0"/>
                  <a:t> độ phát sinh chất thải nhựa (kg/ngày)</a:t>
                </a:r>
                <a:endParaRPr lang="en-US" sz="10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87103"/>
        <c:crosses val="autoZero"/>
        <c:crossBetween val="between"/>
      </c:valAx>
      <c:spPr>
        <a:noFill/>
        <a:ln w="3175">
          <a:solidFill>
            <a:schemeClr val="bg1">
              <a:lumMod val="65000"/>
            </a:schemeClr>
          </a:solidFill>
        </a:ln>
        <a:effectLst/>
      </c:spPr>
    </c:plotArea>
    <c:legend>
      <c:legendPos val="r"/>
      <c:layout>
        <c:manualLayout>
          <c:xMode val="edge"/>
          <c:yMode val="edge"/>
          <c:x val="0.59334175290377766"/>
          <c:y val="0.2316416406614859"/>
          <c:w val="0.20938644608401538"/>
          <c:h val="0.155851975747438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712270341207349"/>
          <c:y val="0.12078703703703704"/>
          <c:w val="0.83714413823272094"/>
          <c:h val="0.541452318460192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[3]Sheet1!$AG$14:$AG$26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[3]Sheet1!$AH$14:$AH$26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F79-0844-AD98-8DC4E2C9409F}"/>
            </c:ext>
          </c:extLst>
        </c:ser>
        <c:dLbls>
          <c:showLegendKey val="0"/>
          <c:showVal val="0"/>
          <c:showCatName val="0"/>
          <c:showSerName val="0"/>
          <c:showPercent val="0"/>
          <c:showBubbleSize val="0"/>
        </c:dLbls>
        <c:gapWidth val="150"/>
        <c:axId val="601661456"/>
        <c:axId val="601680752"/>
      </c:barChart>
      <c:catAx>
        <c:axId val="60166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80752"/>
        <c:crosses val="autoZero"/>
        <c:auto val="1"/>
        <c:lblAlgn val="ctr"/>
        <c:lblOffset val="100"/>
        <c:noMultiLvlLbl val="0"/>
      </c:catAx>
      <c:valAx>
        <c:axId val="60168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Khối</a:t>
                </a:r>
                <a:r>
                  <a:rPr lang="en-US" baseline="0"/>
                  <a:t> lượng nhựa (kg)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61456"/>
        <c:crosses val="autoZero"/>
        <c:crossBetween val="between"/>
      </c:valAx>
      <c:spPr>
        <a:noFill/>
        <a:ln w="3175">
          <a:solidFill>
            <a:schemeClr val="bg1">
              <a:lumMod val="65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04155730533682"/>
          <c:y val="0.11091562665666717"/>
          <c:w val="0.65279986876640406"/>
          <c:h val="0.55937149931126251"/>
        </c:manualLayout>
      </c:layout>
      <c:barChart>
        <c:barDir val="col"/>
        <c:grouping val="clustered"/>
        <c:varyColors val="0"/>
        <c:ser>
          <c:idx val="1"/>
          <c:order val="1"/>
          <c:tx>
            <c:v>Ngày thường</c:v>
          </c:tx>
          <c:spPr>
            <a:solidFill>
              <a:schemeClr val="accent2"/>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0-BF6A-5044-AB1D-85536037EC7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[3]Sheet1!$E$66:$E$77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[3]Sheet1!$G$66:$G$77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F6A-5044-AB1D-85536037EC75}"/>
            </c:ext>
          </c:extLst>
        </c:ser>
        <c:dLbls>
          <c:showLegendKey val="0"/>
          <c:showVal val="0"/>
          <c:showCatName val="0"/>
          <c:showSerName val="0"/>
          <c:showPercent val="0"/>
          <c:showBubbleSize val="0"/>
        </c:dLbls>
        <c:gapWidth val="150"/>
        <c:axId val="533522095"/>
        <c:axId val="533309039"/>
      </c:barChart>
      <c:barChart>
        <c:barDir val="col"/>
        <c:grouping val="clustered"/>
        <c:varyColors val="0"/>
        <c:ser>
          <c:idx val="0"/>
          <c:order val="0"/>
          <c:tx>
            <c:v>Ngày có gió Nam</c:v>
          </c:tx>
          <c:spPr>
            <a:solidFill>
              <a:schemeClr val="accent1"/>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2-BF6A-5044-AB1D-85536037EC75}"/>
                </c:ext>
              </c:extLst>
            </c:dLbl>
            <c:dLbl>
              <c:idx val="9"/>
              <c:delete val="1"/>
              <c:extLst>
                <c:ext xmlns:c15="http://schemas.microsoft.com/office/drawing/2012/chart" uri="{CE6537A1-D6FC-4f65-9D91-7224C49458BB}"/>
                <c:ext xmlns:c16="http://schemas.microsoft.com/office/drawing/2014/chart" uri="{C3380CC4-5D6E-409C-BE32-E72D297353CC}">
                  <c16:uniqueId val="{00000003-BF6A-5044-AB1D-85536037EC75}"/>
                </c:ext>
              </c:extLst>
            </c:dLbl>
            <c:dLbl>
              <c:idx val="11"/>
              <c:delete val="1"/>
              <c:extLst>
                <c:ext xmlns:c15="http://schemas.microsoft.com/office/drawing/2012/chart" uri="{CE6537A1-D6FC-4f65-9D91-7224C49458BB}"/>
                <c:ext xmlns:c16="http://schemas.microsoft.com/office/drawing/2014/chart" uri="{C3380CC4-5D6E-409C-BE32-E72D297353CC}">
                  <c16:uniqueId val="{00000004-BF6A-5044-AB1D-85536037EC7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[3]Sheet1!$E$66:$E$77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[3]Sheet1!$F$66:$F$77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F6A-5044-AB1D-85536037EC75}"/>
            </c:ext>
          </c:extLst>
        </c:ser>
        <c:dLbls>
          <c:showLegendKey val="0"/>
          <c:showVal val="0"/>
          <c:showCatName val="0"/>
          <c:showSerName val="0"/>
          <c:showPercent val="0"/>
          <c:showBubbleSize val="0"/>
        </c:dLbls>
        <c:gapWidth val="150"/>
        <c:axId val="374974592"/>
        <c:axId val="374970128"/>
      </c:barChart>
      <c:catAx>
        <c:axId val="5335220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309039"/>
        <c:crosses val="autoZero"/>
        <c:auto val="1"/>
        <c:lblAlgn val="ctr"/>
        <c:lblOffset val="100"/>
        <c:noMultiLvlLbl val="0"/>
      </c:catAx>
      <c:valAx>
        <c:axId val="53330903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Tổng lượng CTR được thu gom</a:t>
                </a:r>
              </a:p>
              <a:p>
                <a:pPr>
                  <a:defRPr/>
                </a:pPr>
                <a:r>
                  <a:rPr lang="en-US" baseline="0"/>
                  <a:t>trong ngày có gió Nam (kg)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522095"/>
        <c:crosses val="autoZero"/>
        <c:crossBetween val="between"/>
      </c:valAx>
      <c:valAx>
        <c:axId val="3749701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74592"/>
        <c:crosses val="max"/>
        <c:crossBetween val="between"/>
      </c:valAx>
      <c:catAx>
        <c:axId val="374974592"/>
        <c:scaling>
          <c:orientation val="minMax"/>
        </c:scaling>
        <c:delete val="1"/>
        <c:axPos val="b"/>
        <c:numFmt formatCode="General" sourceLinked="1"/>
        <c:majorTickMark val="out"/>
        <c:minorTickMark val="none"/>
        <c:tickLblPos val="nextTo"/>
        <c:crossAx val="374970128"/>
        <c:crosses val="autoZero"/>
        <c:auto val="1"/>
        <c:lblAlgn val="ctr"/>
        <c:lblOffset val="100"/>
        <c:noMultiLvlLbl val="0"/>
      </c:catAx>
      <c:spPr>
        <a:noFill/>
        <a:ln>
          <a:solidFill>
            <a:schemeClr val="bg1">
              <a:lumMod val="85000"/>
            </a:schemeClr>
          </a:solidFill>
        </a:ln>
        <a:effectLst/>
      </c:spPr>
    </c:plotArea>
    <c:legend>
      <c:legendPos val="r"/>
      <c:layout>
        <c:manualLayout>
          <c:xMode val="edge"/>
          <c:yMode val="edge"/>
          <c:x val="0.57982742782152219"/>
          <c:y val="0.19061242344706911"/>
          <c:w val="0.19160375767124552"/>
          <c:h val="0.144550943503175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8</xdr:col>
      <xdr:colOff>803542</xdr:colOff>
      <xdr:row>11</xdr:row>
      <xdr:rowOff>7181</xdr:rowOff>
    </xdr:from>
    <xdr:to>
      <xdr:col>21</xdr:col>
      <xdr:colOff>33055</xdr:colOff>
      <xdr:row>39</xdr:row>
      <xdr:rowOff>170698</xdr:rowOff>
    </xdr:to>
    <xdr:grpSp>
      <xdr:nvGrpSpPr>
        <xdr:cNvPr id="4" name="Group 3">
          <a:extLst>
            <a:ext uri="{FF2B5EF4-FFF2-40B4-BE49-F238E27FC236}">
              <a16:creationId xmlns:a16="http://schemas.microsoft.com/office/drawing/2014/main" id="{6820FA7E-D2F5-3F47-9FB3-36F11695EC62}"/>
            </a:ext>
          </a:extLst>
        </xdr:cNvPr>
        <xdr:cNvGrpSpPr/>
      </xdr:nvGrpSpPr>
      <xdr:grpSpPr>
        <a:xfrm>
          <a:off x="7491432" y="2057823"/>
          <a:ext cx="9983733" cy="5383334"/>
          <a:chOff x="5826831" y="1350206"/>
          <a:chExt cx="9162725" cy="5561036"/>
        </a:xfrm>
      </xdr:grpSpPr>
      <xdr:graphicFrame macro="">
        <xdr:nvGraphicFramePr>
          <xdr:cNvPr id="2" name="Chart 1">
            <a:extLst>
              <a:ext uri="{FF2B5EF4-FFF2-40B4-BE49-F238E27FC236}">
                <a16:creationId xmlns:a16="http://schemas.microsoft.com/office/drawing/2014/main" id="{4483E8D1-C523-F940-BA4A-184FF7204808}"/>
              </a:ext>
            </a:extLst>
          </xdr:cNvPr>
          <xdr:cNvGraphicFramePr/>
        </xdr:nvGraphicFramePr>
        <xdr:xfrm>
          <a:off x="5831864" y="1350206"/>
          <a:ext cx="4585607" cy="277838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6A8E2108-B876-A146-B02F-FDB0B361E0CB}"/>
              </a:ext>
            </a:extLst>
          </xdr:cNvPr>
          <xdr:cNvGraphicFramePr>
            <a:graphicFrameLocks/>
          </xdr:cNvGraphicFramePr>
        </xdr:nvGraphicFramePr>
        <xdr:xfrm>
          <a:off x="10403949" y="1350882"/>
          <a:ext cx="4585607" cy="277755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0C2E896E-9BE4-F94C-9441-8B870BB97AAE}"/>
              </a:ext>
            </a:extLst>
          </xdr:cNvPr>
          <xdr:cNvGraphicFramePr>
            <a:graphicFrameLocks/>
          </xdr:cNvGraphicFramePr>
        </xdr:nvGraphicFramePr>
        <xdr:xfrm>
          <a:off x="5826831" y="4132858"/>
          <a:ext cx="4585022" cy="277838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D0F648A5-1550-8343-BBD6-BE2E34D1E4BB}"/>
              </a:ext>
            </a:extLst>
          </xdr:cNvPr>
          <xdr:cNvGraphicFramePr>
            <a:graphicFrameLocks/>
          </xdr:cNvGraphicFramePr>
        </xdr:nvGraphicFramePr>
        <xdr:xfrm>
          <a:off x="10403231" y="4131208"/>
          <a:ext cx="4585607" cy="277838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17</xdr:col>
      <xdr:colOff>736600</xdr:colOff>
      <xdr:row>71</xdr:row>
      <xdr:rowOff>177800</xdr:rowOff>
    </xdr:from>
    <xdr:to>
      <xdr:col>23</xdr:col>
      <xdr:colOff>370840</xdr:colOff>
      <xdr:row>86</xdr:row>
      <xdr:rowOff>25400</xdr:rowOff>
    </xdr:to>
    <xdr:graphicFrame macro="">
      <xdr:nvGraphicFramePr>
        <xdr:cNvPr id="23" name="Chart 22">
          <a:extLst>
            <a:ext uri="{FF2B5EF4-FFF2-40B4-BE49-F238E27FC236}">
              <a16:creationId xmlns:a16="http://schemas.microsoft.com/office/drawing/2014/main" id="{149EB792-9435-FA4F-BCCE-EC1E2412E0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191479</xdr:colOff>
      <xdr:row>41</xdr:row>
      <xdr:rowOff>100064</xdr:rowOff>
    </xdr:from>
    <xdr:to>
      <xdr:col>40</xdr:col>
      <xdr:colOff>232658</xdr:colOff>
      <xdr:row>85</xdr:row>
      <xdr:rowOff>136574</xdr:rowOff>
    </xdr:to>
    <xdr:grpSp>
      <xdr:nvGrpSpPr>
        <xdr:cNvPr id="35" name="Group 34">
          <a:extLst>
            <a:ext uri="{FF2B5EF4-FFF2-40B4-BE49-F238E27FC236}">
              <a16:creationId xmlns:a16="http://schemas.microsoft.com/office/drawing/2014/main" id="{AC3FDF06-9593-8C41-8FF8-51DBD73FB809}"/>
            </a:ext>
          </a:extLst>
        </xdr:cNvPr>
        <xdr:cNvGrpSpPr/>
      </xdr:nvGrpSpPr>
      <xdr:grpSpPr>
        <a:xfrm>
          <a:off x="24251571" y="7743367"/>
          <a:ext cx="9140904" cy="8297335"/>
          <a:chOff x="35380270" y="12630445"/>
          <a:chExt cx="9067796" cy="8484005"/>
        </a:xfrm>
      </xdr:grpSpPr>
      <xdr:graphicFrame macro="">
        <xdr:nvGraphicFramePr>
          <xdr:cNvPr id="30" name="Chart 29">
            <a:extLst>
              <a:ext uri="{FF2B5EF4-FFF2-40B4-BE49-F238E27FC236}">
                <a16:creationId xmlns:a16="http://schemas.microsoft.com/office/drawing/2014/main" id="{164956FC-5CCE-E94F-938B-529072D92051}"/>
              </a:ext>
            </a:extLst>
          </xdr:cNvPr>
          <xdr:cNvGraphicFramePr/>
        </xdr:nvGraphicFramePr>
        <xdr:xfrm>
          <a:off x="35381037" y="12630445"/>
          <a:ext cx="4535607" cy="2833469"/>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1" name="Chart 30">
            <a:extLst>
              <a:ext uri="{FF2B5EF4-FFF2-40B4-BE49-F238E27FC236}">
                <a16:creationId xmlns:a16="http://schemas.microsoft.com/office/drawing/2014/main" id="{7F3566CA-4AB9-FE42-93A8-7779CEC56505}"/>
              </a:ext>
            </a:extLst>
          </xdr:cNvPr>
          <xdr:cNvGraphicFramePr>
            <a:graphicFrameLocks/>
          </xdr:cNvGraphicFramePr>
        </xdr:nvGraphicFramePr>
        <xdr:xfrm>
          <a:off x="39912459" y="12630846"/>
          <a:ext cx="4535607" cy="2833469"/>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2" name="Chart 31">
            <a:extLst>
              <a:ext uri="{FF2B5EF4-FFF2-40B4-BE49-F238E27FC236}">
                <a16:creationId xmlns:a16="http://schemas.microsoft.com/office/drawing/2014/main" id="{E41DC15B-4BF8-0F45-A835-768C91DED300}"/>
              </a:ext>
            </a:extLst>
          </xdr:cNvPr>
          <xdr:cNvGraphicFramePr>
            <a:graphicFrameLocks/>
          </xdr:cNvGraphicFramePr>
        </xdr:nvGraphicFramePr>
        <xdr:xfrm>
          <a:off x="35380769" y="15460830"/>
          <a:ext cx="4535607" cy="2833469"/>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3" name="Chart 32">
            <a:extLst>
              <a:ext uri="{FF2B5EF4-FFF2-40B4-BE49-F238E27FC236}">
                <a16:creationId xmlns:a16="http://schemas.microsoft.com/office/drawing/2014/main" id="{7C215E91-63B9-E34A-9F9C-DDA9862E3486}"/>
              </a:ext>
            </a:extLst>
          </xdr:cNvPr>
          <xdr:cNvGraphicFramePr>
            <a:graphicFrameLocks/>
          </xdr:cNvGraphicFramePr>
        </xdr:nvGraphicFramePr>
        <xdr:xfrm>
          <a:off x="39910312" y="15461628"/>
          <a:ext cx="4535607" cy="2833469"/>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34" name="Chart 33">
            <a:extLst>
              <a:ext uri="{FF2B5EF4-FFF2-40B4-BE49-F238E27FC236}">
                <a16:creationId xmlns:a16="http://schemas.microsoft.com/office/drawing/2014/main" id="{D4A9584D-8539-1545-BB2A-47AEC9676692}"/>
              </a:ext>
            </a:extLst>
          </xdr:cNvPr>
          <xdr:cNvGraphicFramePr>
            <a:graphicFrameLocks/>
          </xdr:cNvGraphicFramePr>
        </xdr:nvGraphicFramePr>
        <xdr:xfrm>
          <a:off x="35380270" y="18292170"/>
          <a:ext cx="4532341" cy="282228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2</xdr:col>
      <xdr:colOff>628179</xdr:colOff>
      <xdr:row>70</xdr:row>
      <xdr:rowOff>797</xdr:rowOff>
    </xdr:from>
    <xdr:to>
      <xdr:col>13</xdr:col>
      <xdr:colOff>611613</xdr:colOff>
      <xdr:row>112</xdr:row>
      <xdr:rowOff>118313</xdr:rowOff>
    </xdr:to>
    <xdr:grpSp>
      <xdr:nvGrpSpPr>
        <xdr:cNvPr id="13" name="Group 12">
          <a:extLst>
            <a:ext uri="{FF2B5EF4-FFF2-40B4-BE49-F238E27FC236}">
              <a16:creationId xmlns:a16="http://schemas.microsoft.com/office/drawing/2014/main" id="{6A699F47-FA56-E14F-834F-A67887DE9BC7}"/>
            </a:ext>
          </a:extLst>
        </xdr:cNvPr>
        <xdr:cNvGrpSpPr/>
      </xdr:nvGrpSpPr>
      <xdr:grpSpPr>
        <a:xfrm>
          <a:off x="2282674" y="13108595"/>
          <a:ext cx="9153067" cy="7947241"/>
          <a:chOff x="2290741" y="13797615"/>
          <a:chExt cx="9173599" cy="8360971"/>
        </a:xfrm>
      </xdr:grpSpPr>
      <xdr:graphicFrame macro="">
        <xdr:nvGraphicFramePr>
          <xdr:cNvPr id="7" name="Chart 6">
            <a:extLst>
              <a:ext uri="{FF2B5EF4-FFF2-40B4-BE49-F238E27FC236}">
                <a16:creationId xmlns:a16="http://schemas.microsoft.com/office/drawing/2014/main" id="{AAA7C834-4625-5449-AABC-F4F61B8B6A1D}"/>
              </a:ext>
            </a:extLst>
          </xdr:cNvPr>
          <xdr:cNvGraphicFramePr/>
        </xdr:nvGraphicFramePr>
        <xdr:xfrm>
          <a:off x="2290741" y="13797615"/>
          <a:ext cx="4582516" cy="2790206"/>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8" name="Chart 7">
            <a:extLst>
              <a:ext uri="{FF2B5EF4-FFF2-40B4-BE49-F238E27FC236}">
                <a16:creationId xmlns:a16="http://schemas.microsoft.com/office/drawing/2014/main" id="{14109399-8E50-6C48-A77E-E2B230069903}"/>
              </a:ext>
            </a:extLst>
          </xdr:cNvPr>
          <xdr:cNvGraphicFramePr/>
        </xdr:nvGraphicFramePr>
        <xdr:xfrm>
          <a:off x="6871237" y="13797615"/>
          <a:ext cx="4593103" cy="2790206"/>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9" name="Chart 8">
            <a:extLst>
              <a:ext uri="{FF2B5EF4-FFF2-40B4-BE49-F238E27FC236}">
                <a16:creationId xmlns:a16="http://schemas.microsoft.com/office/drawing/2014/main" id="{8AB82B35-E2D6-9B41-A35E-3E0DD2076E6B}"/>
              </a:ext>
            </a:extLst>
          </xdr:cNvPr>
          <xdr:cNvGraphicFramePr/>
        </xdr:nvGraphicFramePr>
        <xdr:xfrm>
          <a:off x="2290741" y="16579109"/>
          <a:ext cx="4582516" cy="279226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0" name="Chart 9">
            <a:extLst>
              <a:ext uri="{FF2B5EF4-FFF2-40B4-BE49-F238E27FC236}">
                <a16:creationId xmlns:a16="http://schemas.microsoft.com/office/drawing/2014/main" id="{307E812E-AC95-5348-A029-3EA407E4480C}"/>
              </a:ext>
            </a:extLst>
          </xdr:cNvPr>
          <xdr:cNvGraphicFramePr/>
        </xdr:nvGraphicFramePr>
        <xdr:xfrm>
          <a:off x="6871237" y="16579108"/>
          <a:ext cx="4593103" cy="2792269"/>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2" name="Chart 11">
            <a:extLst>
              <a:ext uri="{FF2B5EF4-FFF2-40B4-BE49-F238E27FC236}">
                <a16:creationId xmlns:a16="http://schemas.microsoft.com/office/drawing/2014/main" id="{AE3C400E-EAE4-F14D-9D63-6E2F5B17D9EA}"/>
              </a:ext>
            </a:extLst>
          </xdr:cNvPr>
          <xdr:cNvGraphicFramePr/>
        </xdr:nvGraphicFramePr>
        <xdr:xfrm>
          <a:off x="2291387" y="19372027"/>
          <a:ext cx="4582800" cy="278655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130810</xdr:colOff>
      <xdr:row>1</xdr:row>
      <xdr:rowOff>156210</xdr:rowOff>
    </xdr:from>
    <xdr:to>
      <xdr:col>11</xdr:col>
      <xdr:colOff>575310</xdr:colOff>
      <xdr:row>18</xdr:row>
      <xdr:rowOff>26670</xdr:rowOff>
    </xdr:to>
    <xdr:graphicFrame macro="">
      <xdr:nvGraphicFramePr>
        <xdr:cNvPr id="2" name="Chart 1">
          <a:extLst>
            <a:ext uri="{FF2B5EF4-FFF2-40B4-BE49-F238E27FC236}">
              <a16:creationId xmlns:a16="http://schemas.microsoft.com/office/drawing/2014/main" id="{75FAC892-5B24-6741-B540-563063EAD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15688</xdr:colOff>
      <xdr:row>18</xdr:row>
      <xdr:rowOff>184150</xdr:rowOff>
    </xdr:from>
    <xdr:to>
      <xdr:col>8</xdr:col>
      <xdr:colOff>457274</xdr:colOff>
      <xdr:row>32</xdr:row>
      <xdr:rowOff>82773</xdr:rowOff>
    </xdr:to>
    <xdr:graphicFrame macro="">
      <xdr:nvGraphicFramePr>
        <xdr:cNvPr id="2" name="Chart 1">
          <a:extLst>
            <a:ext uri="{FF2B5EF4-FFF2-40B4-BE49-F238E27FC236}">
              <a16:creationId xmlns:a16="http://schemas.microsoft.com/office/drawing/2014/main" id="{DDC3813A-71A6-EC48-9470-B2A492E63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200151</xdr:colOff>
      <xdr:row>19</xdr:row>
      <xdr:rowOff>4465</xdr:rowOff>
    </xdr:from>
    <xdr:to>
      <xdr:col>16</xdr:col>
      <xdr:colOff>663384</xdr:colOff>
      <xdr:row>32</xdr:row>
      <xdr:rowOff>118133</xdr:rowOff>
    </xdr:to>
    <xdr:graphicFrame macro="">
      <xdr:nvGraphicFramePr>
        <xdr:cNvPr id="3" name="Chart 2">
          <a:extLst>
            <a:ext uri="{FF2B5EF4-FFF2-40B4-BE49-F238E27FC236}">
              <a16:creationId xmlns:a16="http://schemas.microsoft.com/office/drawing/2014/main" id="{1B7DF65C-ECF9-934D-8CE1-D52B62D71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200151</xdr:colOff>
      <xdr:row>32</xdr:row>
      <xdr:rowOff>120061</xdr:rowOff>
    </xdr:from>
    <xdr:to>
      <xdr:col>16</xdr:col>
      <xdr:colOff>668508</xdr:colOff>
      <xdr:row>46</xdr:row>
      <xdr:rowOff>25712</xdr:rowOff>
    </xdr:to>
    <xdr:graphicFrame macro="">
      <xdr:nvGraphicFramePr>
        <xdr:cNvPr id="4" name="Chart 3">
          <a:extLst>
            <a:ext uri="{FF2B5EF4-FFF2-40B4-BE49-F238E27FC236}">
              <a16:creationId xmlns:a16="http://schemas.microsoft.com/office/drawing/2014/main" id="{1F77EED9-80A7-0D4B-9F3F-E3DB125B6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635000</xdr:colOff>
      <xdr:row>21</xdr:row>
      <xdr:rowOff>33506</xdr:rowOff>
    </xdr:from>
    <xdr:to>
      <xdr:col>26</xdr:col>
      <xdr:colOff>269630</xdr:colOff>
      <xdr:row>61</xdr:row>
      <xdr:rowOff>99718</xdr:rowOff>
    </xdr:to>
    <xdr:grpSp>
      <xdr:nvGrpSpPr>
        <xdr:cNvPr id="5" name="Group 4">
          <a:extLst>
            <a:ext uri="{FF2B5EF4-FFF2-40B4-BE49-F238E27FC236}">
              <a16:creationId xmlns:a16="http://schemas.microsoft.com/office/drawing/2014/main" id="{D0E0D7AE-BFFD-0249-95DF-7645AAD384E4}"/>
            </a:ext>
          </a:extLst>
        </xdr:cNvPr>
        <xdr:cNvGrpSpPr/>
      </xdr:nvGrpSpPr>
      <xdr:grpSpPr>
        <a:xfrm>
          <a:off x="17373600" y="4034006"/>
          <a:ext cx="4587630" cy="7686212"/>
          <a:chOff x="17417143" y="4319756"/>
          <a:chExt cx="4601237" cy="8230498"/>
        </a:xfrm>
      </xdr:grpSpPr>
      <xdr:grpSp>
        <xdr:nvGrpSpPr>
          <xdr:cNvPr id="6" name="Group 5">
            <a:extLst>
              <a:ext uri="{FF2B5EF4-FFF2-40B4-BE49-F238E27FC236}">
                <a16:creationId xmlns:a16="http://schemas.microsoft.com/office/drawing/2014/main" id="{DFB91EB3-1575-3348-90CB-DE741EE74569}"/>
              </a:ext>
            </a:extLst>
          </xdr:cNvPr>
          <xdr:cNvGrpSpPr/>
        </xdr:nvGrpSpPr>
        <xdr:grpSpPr>
          <a:xfrm>
            <a:off x="17417143" y="4319756"/>
            <a:ext cx="4597767" cy="5509137"/>
            <a:chOff x="17145000" y="4300706"/>
            <a:chExt cx="4584160" cy="5484644"/>
          </a:xfrm>
        </xdr:grpSpPr>
        <xdr:graphicFrame macro="">
          <xdr:nvGraphicFramePr>
            <xdr:cNvPr id="8" name="Chart 7">
              <a:extLst>
                <a:ext uri="{FF2B5EF4-FFF2-40B4-BE49-F238E27FC236}">
                  <a16:creationId xmlns:a16="http://schemas.microsoft.com/office/drawing/2014/main" id="{899CCD93-0B06-1648-955A-095D017EAB12}"/>
                </a:ext>
              </a:extLst>
            </xdr:cNvPr>
            <xdr:cNvGraphicFramePr/>
          </xdr:nvGraphicFramePr>
          <xdr:xfrm>
            <a:off x="17149053" y="4300706"/>
            <a:ext cx="4580107" cy="275022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9" name="Chart 8">
              <a:extLst>
                <a:ext uri="{FF2B5EF4-FFF2-40B4-BE49-F238E27FC236}">
                  <a16:creationId xmlns:a16="http://schemas.microsoft.com/office/drawing/2014/main" id="{87CA8B6A-998F-E94C-9410-F3DC9A1F062A}"/>
                </a:ext>
              </a:extLst>
            </xdr:cNvPr>
            <xdr:cNvGraphicFramePr/>
          </xdr:nvGraphicFramePr>
          <xdr:xfrm>
            <a:off x="17145000" y="7042150"/>
            <a:ext cx="4583953" cy="2743200"/>
          </xdr:xfrm>
          <a:graphic>
            <a:graphicData uri="http://schemas.openxmlformats.org/drawingml/2006/chart">
              <c:chart xmlns:c="http://schemas.openxmlformats.org/drawingml/2006/chart" xmlns:r="http://schemas.openxmlformats.org/officeDocument/2006/relationships" r:id="rId5"/>
            </a:graphicData>
          </a:graphic>
        </xdr:graphicFrame>
      </xdr:grpSp>
      <xdr:graphicFrame macro="">
        <xdr:nvGraphicFramePr>
          <xdr:cNvPr id="7" name="Chart 6">
            <a:extLst>
              <a:ext uri="{FF2B5EF4-FFF2-40B4-BE49-F238E27FC236}">
                <a16:creationId xmlns:a16="http://schemas.microsoft.com/office/drawing/2014/main" id="{45B246F3-54CE-8F42-B183-5A89D91D9764}"/>
              </a:ext>
            </a:extLst>
          </xdr:cNvPr>
          <xdr:cNvGraphicFramePr/>
        </xdr:nvGraphicFramePr>
        <xdr:xfrm>
          <a:off x="17418084" y="9798117"/>
          <a:ext cx="4600296" cy="2752137"/>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4.xml><?xml version="1.0" encoding="utf-8"?>
<c:userShapes xmlns:c="http://schemas.openxmlformats.org/drawingml/2006/chart">
  <cdr:relSizeAnchor xmlns:cdr="http://schemas.openxmlformats.org/drawingml/2006/chartDrawing">
    <cdr:from>
      <cdr:x>0.87037</cdr:x>
      <cdr:y>0.04013</cdr:y>
    </cdr:from>
    <cdr:to>
      <cdr:x>0.98704</cdr:x>
      <cdr:y>0.69136</cdr:y>
    </cdr:to>
    <cdr:sp macro="" textlink="">
      <cdr:nvSpPr>
        <cdr:cNvPr id="2" name="TextBox 1">
          <a:extLst xmlns:a="http://schemas.openxmlformats.org/drawingml/2006/main">
            <a:ext uri="{FF2B5EF4-FFF2-40B4-BE49-F238E27FC236}">
              <a16:creationId xmlns:a16="http://schemas.microsoft.com/office/drawing/2014/main" id="{C1F82D39-A7F2-154A-9962-30E5F099B817}"/>
            </a:ext>
          </a:extLst>
        </cdr:cNvPr>
        <cdr:cNvSpPr txBox="1"/>
      </cdr:nvSpPr>
      <cdr:spPr>
        <a:xfrm xmlns:a="http://schemas.openxmlformats.org/drawingml/2006/main" rot="5400000">
          <a:off x="3352800" y="736605"/>
          <a:ext cx="1786464"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solidFill>
                <a:schemeClr val="tx1">
                  <a:lumMod val="65000"/>
                  <a:lumOff val="35000"/>
                </a:schemeClr>
              </a:solidFill>
            </a:rPr>
            <a:t>Tổng</a:t>
          </a:r>
          <a:r>
            <a:rPr lang="en-US" sz="1000" baseline="0">
              <a:solidFill>
                <a:schemeClr val="tx1">
                  <a:lumMod val="65000"/>
                  <a:lumOff val="35000"/>
                </a:schemeClr>
              </a:solidFill>
            </a:rPr>
            <a:t> lượng CTR được thu gom trong ngày thường (kg)</a:t>
          </a:r>
          <a:endParaRPr lang="en-US" sz="1000">
            <a:solidFill>
              <a:schemeClr val="tx1">
                <a:lumMod val="65000"/>
                <a:lumOff val="35000"/>
              </a:schemeClr>
            </a:solidFill>
          </a:endParaRPr>
        </a:p>
      </cdr:txBody>
    </cdr:sp>
  </cdr:relSizeAnchor>
  <cdr:relSizeAnchor xmlns:cdr="http://schemas.openxmlformats.org/drawingml/2006/chartDrawing">
    <cdr:from>
      <cdr:x>0.37788</cdr:x>
      <cdr:y>3.63354E-7</cdr:y>
    </cdr:from>
    <cdr:to>
      <cdr:x>0.64487</cdr:x>
      <cdr:y>0.09029</cdr:y>
    </cdr:to>
    <cdr:sp macro="" textlink="">
      <cdr:nvSpPr>
        <cdr:cNvPr id="3" name="TextBox 1">
          <a:extLst xmlns:a="http://schemas.openxmlformats.org/drawingml/2006/main">
            <a:ext uri="{FF2B5EF4-FFF2-40B4-BE49-F238E27FC236}">
              <a16:creationId xmlns:a16="http://schemas.microsoft.com/office/drawing/2014/main" id="{5EA33766-BE08-664B-86FC-FB3136AB51AD}"/>
            </a:ext>
          </a:extLst>
        </cdr:cNvPr>
        <cdr:cNvSpPr txBox="1"/>
      </cdr:nvSpPr>
      <cdr:spPr>
        <a:xfrm xmlns:a="http://schemas.openxmlformats.org/drawingml/2006/main">
          <a:off x="1738380" y="1"/>
          <a:ext cx="1228206" cy="248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chemeClr val="tx1">
                  <a:lumMod val="65000"/>
                  <a:lumOff val="35000"/>
                </a:schemeClr>
              </a:solidFill>
            </a:rPr>
            <a:t>(c)</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truong/Desktop/Plastic%20Duong%20Dong/2021%203%2004%20Data%20analysis_Tp%20CTR%20Duong%20Dong_Raw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le/Desktop/Plastic%20Duong%20Dong/Final%20report/2021%204%2026%20Chat%20thai%20tai%20cac%20diem%20phat%20sin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le/Desktop/Plastic%20Duong%20Dong/Final%20report/2021%205%2013%20Toc%20do%20phat%20sinh%20CTR%20tai%20Dinh%20C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Đếm ghe tàu"/>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ste Generation at 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Truong Le" id="{E3761C18-CFBF-FF42-8819-B39DE9964C28}" userId="Truong Le" providerId="None"/>
  <person displayName="TRUONG LE MINH" id="{80976E15-5858-C144-89C6-BEA6ED7E681C}" userId="b780c3c905259c0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2" dT="2021-03-11T04:22:37.23" personId="{E3761C18-CFBF-FF42-8819-B39DE9964C28}" id="{E70F7EAC-8797-1742-A644-4FBE7D524835}">
    <text>Rác dọc bờ Dinh Cậu ngày này do Văn Lang tự vớt</text>
  </threadedComment>
  <threadedComment ref="B56" dT="2021-03-11T04:23:12.57" personId="{E3761C18-CFBF-FF42-8819-B39DE9964C28}" id="{4EF18700-1D7A-DC44-82F4-7ADF2C627B17}">
    <text>Rác ngày này do bộ đội biên phòng gom dọc bờ kè Dinh Cậu</text>
  </threadedComment>
  <threadedComment ref="B64" dT="2021-03-11T04:23:47.28" personId="{E3761C18-CFBF-FF42-8819-B39DE9964C28}" id="{37D5ACAC-C84B-BB43-B2AB-7AD7ED6BA267}">
    <text/>
  </threadedComment>
  <threadedComment ref="B64" dT="2021-03-11T04:30:29.80" personId="{E3761C18-CFBF-FF42-8819-B39DE9964C28}" id="{962B073B-AB7F-5744-B29D-1DA942309C39}" parentId="{37D5ACAC-C84B-BB43-B2AB-7AD7ED6BA267}">
    <text>Đội túi nilong trắng gom sẵn rác dọc bờ kè</text>
  </threadedComment>
  <threadedComment ref="O80" dT="2020-12-30T11:09:15.40" personId="{80976E15-5858-C144-89C6-BEA6ED7E681C}" id="{122F1103-C9D2-9F44-81A3-5E4192D4DC00}">
    <text>Can nhựa</text>
  </threadedComment>
  <threadedComment ref="W80" dT="2020-12-30T11:09:50.60" personId="{80976E15-5858-C144-89C6-BEA6ED7E681C}" id="{7EC6008F-3D88-0746-B46B-10BCC3976691}">
    <text>Thùng nhớt</text>
  </threadedComment>
  <threadedComment ref="B94" dT="2021-03-05T08:56:01.91" personId="{E3761C18-CFBF-FF42-8819-B39DE9964C28}" id="{86739FFD-72BF-164C-BBB8-A3370A4CA53A}">
    <text>On the day, waste was gathered along the Dinh Cau sea-wall due to the southern wind. Since we could not collect all waste gathered there, we took waste at one selected point in the morning and in the afternoon, we collected all waste at the first point of along Dinh Cau sea-wall. Thus, when calculating waste there, we must multiply for the long of Dinh Cau sea-wall</text>
  </threadedComment>
</ThreadedComments>
</file>

<file path=xl/threadedComments/threadedComment2.xml><?xml version="1.0" encoding="utf-8"?>
<ThreadedComments xmlns="http://schemas.microsoft.com/office/spreadsheetml/2018/threadedcomments" xmlns:x="http://schemas.openxmlformats.org/spreadsheetml/2006/main">
  <threadedComment ref="O81" dT="2020-12-30T11:09:15.40" personId="{80976E15-5858-C144-89C6-BEA6ED7E681C}" id="{86F159D3-DB3E-3B40-AA15-7727C7B62FE4}">
    <text>Can nhựa</text>
  </threadedComment>
  <threadedComment ref="W81" dT="2020-12-30T11:09:50.60" personId="{80976E15-5858-C144-89C6-BEA6ED7E681C}" id="{21C908D5-9C16-5242-AE15-50D6262D122D}">
    <text>Thùng nhớt</text>
  </threadedComment>
</ThreadedComments>
</file>

<file path=xl/threadedComments/threadedComment3.xml><?xml version="1.0" encoding="utf-8"?>
<ThreadedComments xmlns="http://schemas.microsoft.com/office/spreadsheetml/2018/threadedcomments" xmlns:x="http://schemas.openxmlformats.org/spreadsheetml/2006/main">
  <threadedComment ref="P3" dT="2021-03-22T10:25:29.31" personId="{E3761C18-CFBF-FF42-8819-B39DE9964C28}" id="{17359BC8-D751-0E43-A5EA-E813A0E7FD41}">
    <text>số liệu ban đầu là 11</text>
  </threadedComment>
  <threadedComment ref="I9" dT="2021-03-22T10:57:24.72" personId="{E3761C18-CFBF-FF42-8819-B39DE9964C28}" id="{5A8D2EF6-F068-8144-B391-AAD8BB16DA8D}">
    <text>Ban đầu là 0.05</text>
  </threadedComment>
  <threadedComment ref="L10" dT="2021-03-22T10:23:48.09" personId="{E3761C18-CFBF-FF42-8819-B39DE9964C28}" id="{CEABFF2F-4AAC-6B4A-9E20-F39C3D58E36C}">
    <text>số liệu ban đầu là 14.8</text>
  </threadedComment>
  <threadedComment ref="O10" dT="2021-03-22T10:24:35.99" personId="{E3761C18-CFBF-FF42-8819-B39DE9964C28}" id="{813D5D30-A37F-694F-AFC1-944C432B9E24}">
    <text>số liệu ban đầu là 23.7</text>
  </threadedComment>
  <threadedComment ref="I11" dT="2021-03-22T10:57:46.48" personId="{E3761C18-CFBF-FF42-8819-B39DE9964C28}" id="{992A3F7E-F375-7A40-8DCF-183F65BD1184}">
    <text>Ban đầu là 6.98</text>
  </threadedComment>
  <threadedComment ref="I12" dT="2021-03-22T10:22:12.21" personId="{E3761C18-CFBF-FF42-8819-B39DE9964C28}" id="{E495BAB9-B390-4347-BEF8-47A8128C82BD}">
    <text>số liệu ban đầu là 10.05</text>
  </threadedComment>
  <threadedComment ref="L12" dT="2021-03-22T10:23:21.55" personId="{E3761C18-CFBF-FF42-8819-B39DE9964C28}" id="{D4F49D20-25FE-6647-B55B-B12357B36BB5}">
    <text>số liệu ban đầu là 16.31</text>
  </threadedComment>
  <threadedComment ref="L12" dT="2021-03-22T10:51:38.07" personId="{E3761C18-CFBF-FF42-8819-B39DE9964C28}" id="{7453E66C-84C4-4842-A87A-EAC9BAD6E19B}" parentId="{D4F49D20-25FE-6647-B55B-B12357B36BB5}">
    <text>3.99</text>
  </threadedComment>
  <threadedComment ref="O12" dT="2021-03-22T10:58:35.78" personId="{E3761C18-CFBF-FF42-8819-B39DE9964C28}" id="{1CAC0296-B531-0B48-9322-079669BE9BE7}">
    <text>Ban đầu là 4.16</text>
  </threadedComment>
  <threadedComment ref="R12" dT="2021-03-22T10:59:05.55" personId="{E3761C18-CFBF-FF42-8819-B39DE9964C28}" id="{C6B1D6B5-972C-9B4E-9607-AC59823331FA}">
    <text>Ban đầu 10.11</text>
  </threadedComment>
  <threadedComment ref="L13" dT="2021-03-22T10:58:11.89" personId="{E3761C18-CFBF-FF42-8819-B39DE9964C28}" id="{0EC3E8CC-3659-D143-8465-3DD65F601797}">
    <text>Ban đầu là 11.08</text>
  </threadedComment>
  <threadedComment ref="O13" dT="2021-03-22T10:58:44.63" personId="{E3761C18-CFBF-FF42-8819-B39DE9964C28}" id="{FD9DBD37-20F2-174C-959C-B85F512C1DC8}">
    <text>Ban đầu là 13.4</text>
  </threadedComment>
  <threadedComment ref="R16" dT="2021-03-22T10:25:53.16" personId="{E3761C18-CFBF-FF42-8819-B39DE9964C28}" id="{AA965868-32F0-7644-A370-76FA436E73D3}">
    <text>số liệu ban đầu là 13.49</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63"/>
  <sheetViews>
    <sheetView tabSelected="1" zoomScaleNormal="125" workbookViewId="0">
      <pane xSplit="2" ySplit="2" topLeftCell="C3" activePane="bottomRight" state="frozen"/>
      <selection pane="topRight" activeCell="B1" sqref="B1"/>
      <selection pane="bottomLeft" activeCell="A17" sqref="A17"/>
      <selection pane="bottomRight" activeCell="D94" sqref="D94"/>
    </sheetView>
  </sheetViews>
  <sheetFormatPr defaultColWidth="11.5546875" defaultRowHeight="14.4" x14ac:dyDescent="0.3"/>
  <cols>
    <col min="2" max="2" width="7.77734375" bestFit="1" customWidth="1"/>
    <col min="3" max="3" width="8.44140625" style="11" bestFit="1" customWidth="1"/>
    <col min="4" max="4" width="17.33203125" bestFit="1" customWidth="1"/>
    <col min="5" max="5" width="6.109375" bestFit="1" customWidth="1"/>
    <col min="6" max="6" width="7.6640625" bestFit="1" customWidth="1"/>
    <col min="7" max="7" width="7.6640625" customWidth="1"/>
    <col min="8" max="8" width="6.6640625" bestFit="1" customWidth="1"/>
    <col min="9" max="9" width="8.44140625" bestFit="1" customWidth="1"/>
    <col min="11" max="11" width="12.33203125" bestFit="1" customWidth="1"/>
    <col min="13" max="13" width="8.77734375" bestFit="1" customWidth="1"/>
    <col min="14" max="14" width="9.6640625" bestFit="1" customWidth="1"/>
    <col min="15" max="15" width="8.33203125" bestFit="1" customWidth="1"/>
    <col min="16" max="16" width="8.109375" bestFit="1" customWidth="1"/>
    <col min="17" max="17" width="6.6640625" bestFit="1" customWidth="1"/>
    <col min="18" max="18" width="10.109375" bestFit="1" customWidth="1"/>
    <col min="19" max="19" width="10" bestFit="1" customWidth="1"/>
    <col min="20" max="20" width="7.6640625" bestFit="1" customWidth="1"/>
    <col min="21" max="21" width="12.44140625" bestFit="1" customWidth="1"/>
    <col min="22" max="22" width="7.6640625" bestFit="1" customWidth="1"/>
    <col min="23" max="24" width="5.6640625" bestFit="1" customWidth="1"/>
    <col min="25" max="25" width="7.6640625" bestFit="1" customWidth="1"/>
    <col min="26" max="31" width="7.6640625" customWidth="1"/>
  </cols>
  <sheetData>
    <row r="1" spans="1:35" s="8" customFormat="1" x14ac:dyDescent="0.3">
      <c r="A1" s="153" t="s">
        <v>62</v>
      </c>
      <c r="B1" s="153" t="s">
        <v>30</v>
      </c>
      <c r="C1" s="156" t="s">
        <v>17</v>
      </c>
      <c r="D1" s="154" t="s">
        <v>38</v>
      </c>
      <c r="E1" s="153" t="s">
        <v>16</v>
      </c>
      <c r="F1" s="155" t="s">
        <v>46</v>
      </c>
      <c r="G1" s="155" t="s">
        <v>59</v>
      </c>
      <c r="H1" s="152" t="s">
        <v>0</v>
      </c>
      <c r="I1" s="152" t="s">
        <v>1</v>
      </c>
      <c r="J1" s="152"/>
      <c r="K1" s="152"/>
      <c r="L1" s="152" t="s">
        <v>5</v>
      </c>
      <c r="M1" s="152"/>
      <c r="N1" s="152"/>
      <c r="O1" s="152" t="s">
        <v>6</v>
      </c>
      <c r="P1" s="152"/>
      <c r="Q1" s="151" t="s">
        <v>7</v>
      </c>
      <c r="R1" s="151"/>
      <c r="S1" s="151"/>
      <c r="T1" s="151" t="s">
        <v>9</v>
      </c>
      <c r="U1" s="151"/>
      <c r="V1" s="151"/>
      <c r="W1" s="151" t="s">
        <v>12</v>
      </c>
      <c r="X1" s="151" t="s">
        <v>13</v>
      </c>
      <c r="Y1" s="151" t="s">
        <v>14</v>
      </c>
      <c r="Z1" s="151" t="s">
        <v>1</v>
      </c>
      <c r="AA1" s="151" t="s">
        <v>5</v>
      </c>
      <c r="AB1" s="151" t="s">
        <v>6</v>
      </c>
      <c r="AC1" s="151" t="s">
        <v>7</v>
      </c>
      <c r="AD1" s="151" t="s">
        <v>9</v>
      </c>
      <c r="AE1" s="151" t="s">
        <v>60</v>
      </c>
    </row>
    <row r="2" spans="1:35" s="10" customFormat="1" ht="57.6" x14ac:dyDescent="0.3">
      <c r="A2" s="153"/>
      <c r="B2" s="153"/>
      <c r="C2" s="156"/>
      <c r="D2" s="154"/>
      <c r="E2" s="153"/>
      <c r="F2" s="155"/>
      <c r="G2" s="155"/>
      <c r="H2" s="152"/>
      <c r="I2" s="10" t="s">
        <v>2</v>
      </c>
      <c r="J2" s="10" t="s">
        <v>3</v>
      </c>
      <c r="K2" s="9" t="s">
        <v>4</v>
      </c>
      <c r="L2" s="10" t="s">
        <v>18</v>
      </c>
      <c r="M2" s="10" t="s">
        <v>19</v>
      </c>
      <c r="N2" s="10" t="s">
        <v>22</v>
      </c>
      <c r="O2" s="10" t="s">
        <v>20</v>
      </c>
      <c r="P2" s="10" t="s">
        <v>21</v>
      </c>
      <c r="Q2" s="10" t="s">
        <v>8</v>
      </c>
      <c r="R2" s="9" t="s">
        <v>15</v>
      </c>
      <c r="S2" s="9" t="s">
        <v>24</v>
      </c>
      <c r="T2" s="10" t="s">
        <v>10</v>
      </c>
      <c r="U2" s="10" t="s">
        <v>11</v>
      </c>
      <c r="V2" s="10" t="s">
        <v>23</v>
      </c>
      <c r="W2" s="151"/>
      <c r="X2" s="151"/>
      <c r="Y2" s="151"/>
      <c r="Z2" s="151"/>
      <c r="AA2" s="151"/>
      <c r="AB2" s="151"/>
      <c r="AC2" s="151"/>
      <c r="AD2" s="151"/>
      <c r="AE2" s="151"/>
    </row>
    <row r="3" spans="1:35" s="47" customFormat="1" ht="28.8" x14ac:dyDescent="0.3">
      <c r="C3" s="52"/>
      <c r="D3" s="53"/>
      <c r="F3" s="50"/>
      <c r="G3" s="50" t="s">
        <v>59</v>
      </c>
      <c r="H3" s="51" t="s">
        <v>0</v>
      </c>
      <c r="I3" s="47" t="s">
        <v>76</v>
      </c>
      <c r="J3" s="47" t="s">
        <v>83</v>
      </c>
      <c r="K3" s="50" t="s">
        <v>78</v>
      </c>
      <c r="L3" s="47" t="s">
        <v>82</v>
      </c>
      <c r="M3" s="47" t="s">
        <v>77</v>
      </c>
      <c r="N3" s="47" t="s">
        <v>81</v>
      </c>
      <c r="O3" s="47" t="s">
        <v>79</v>
      </c>
      <c r="P3" s="47" t="s">
        <v>80</v>
      </c>
      <c r="Q3" s="47" t="s">
        <v>84</v>
      </c>
      <c r="R3" s="50" t="s">
        <v>85</v>
      </c>
      <c r="S3" s="50" t="s">
        <v>86</v>
      </c>
      <c r="T3" s="47" t="s">
        <v>87</v>
      </c>
      <c r="U3" s="47" t="s">
        <v>88</v>
      </c>
      <c r="V3" s="47" t="s">
        <v>89</v>
      </c>
      <c r="W3" s="47" t="s">
        <v>12</v>
      </c>
      <c r="X3" s="47" t="s">
        <v>90</v>
      </c>
      <c r="Y3" s="47" t="s">
        <v>91</v>
      </c>
    </row>
    <row r="4" spans="1:35" x14ac:dyDescent="0.3">
      <c r="A4" s="155" t="s">
        <v>63</v>
      </c>
      <c r="B4" s="22">
        <v>1</v>
      </c>
      <c r="C4" s="23">
        <v>44186</v>
      </c>
      <c r="D4" s="24">
        <v>2</v>
      </c>
      <c r="E4" s="22">
        <v>0</v>
      </c>
      <c r="F4" s="22">
        <v>0</v>
      </c>
      <c r="G4" s="25">
        <f>SUM(H4:Y4)</f>
        <v>32.85</v>
      </c>
      <c r="H4" s="25">
        <v>6.25</v>
      </c>
      <c r="I4" s="25">
        <v>1.2000000000000002</v>
      </c>
      <c r="J4" s="25">
        <v>1.2</v>
      </c>
      <c r="K4" s="25">
        <v>0</v>
      </c>
      <c r="L4" s="25">
        <f>1.7/2</f>
        <v>0.85</v>
      </c>
      <c r="M4" s="25">
        <f>1.7/2</f>
        <v>0.85</v>
      </c>
      <c r="N4" s="25">
        <v>0</v>
      </c>
      <c r="O4" s="25">
        <v>0.1</v>
      </c>
      <c r="P4" s="25">
        <v>0</v>
      </c>
      <c r="Q4" s="25">
        <v>1.2999999999999998</v>
      </c>
      <c r="R4" s="25">
        <v>1.2000000000000002</v>
      </c>
      <c r="S4" s="25">
        <v>0</v>
      </c>
      <c r="T4" s="25">
        <v>1.65</v>
      </c>
      <c r="U4" s="25">
        <v>2.0499999999999998</v>
      </c>
      <c r="V4" s="25">
        <v>0</v>
      </c>
      <c r="W4" s="25">
        <v>0</v>
      </c>
      <c r="X4" s="25">
        <v>0</v>
      </c>
      <c r="Y4" s="25">
        <v>16.200000000000003</v>
      </c>
      <c r="Z4" s="25"/>
      <c r="AA4" s="25"/>
      <c r="AB4" s="25"/>
      <c r="AC4" s="25"/>
      <c r="AD4" s="25"/>
      <c r="AE4" s="25"/>
      <c r="AH4" s="1"/>
    </row>
    <row r="5" spans="1:35" x14ac:dyDescent="0.3">
      <c r="A5" s="155"/>
      <c r="B5" s="22">
        <v>3</v>
      </c>
      <c r="C5" s="23">
        <v>44186</v>
      </c>
      <c r="D5" s="24">
        <v>2</v>
      </c>
      <c r="E5" s="22">
        <v>1</v>
      </c>
      <c r="F5" s="22">
        <v>0</v>
      </c>
      <c r="G5" s="25">
        <f t="shared" ref="G5:G96" si="0">SUM(H5:Y5)</f>
        <v>30.2</v>
      </c>
      <c r="H5" s="25">
        <v>8.5</v>
      </c>
      <c r="I5" s="25">
        <v>0.3</v>
      </c>
      <c r="J5" s="25">
        <v>0.2</v>
      </c>
      <c r="K5" s="25">
        <v>0</v>
      </c>
      <c r="L5" s="25">
        <v>0.2</v>
      </c>
      <c r="M5" s="25">
        <v>0</v>
      </c>
      <c r="N5" s="25">
        <v>0</v>
      </c>
      <c r="O5" s="25">
        <v>0</v>
      </c>
      <c r="P5" s="25">
        <v>0</v>
      </c>
      <c r="Q5" s="25">
        <v>0.5</v>
      </c>
      <c r="R5" s="25">
        <v>9</v>
      </c>
      <c r="S5" s="25">
        <v>0</v>
      </c>
      <c r="T5" s="25">
        <v>2</v>
      </c>
      <c r="U5" s="25">
        <v>0</v>
      </c>
      <c r="V5" s="25">
        <v>0</v>
      </c>
      <c r="W5" s="25">
        <v>1</v>
      </c>
      <c r="X5" s="25">
        <v>0</v>
      </c>
      <c r="Y5" s="25">
        <v>8.5</v>
      </c>
      <c r="Z5" s="25"/>
      <c r="AA5" s="25"/>
      <c r="AB5" s="25"/>
      <c r="AC5" s="25"/>
      <c r="AD5" s="25"/>
      <c r="AE5" s="25"/>
      <c r="AH5" s="1"/>
    </row>
    <row r="6" spans="1:35" x14ac:dyDescent="0.3">
      <c r="A6" s="155"/>
      <c r="B6" s="22">
        <v>4</v>
      </c>
      <c r="C6" s="23">
        <v>44186</v>
      </c>
      <c r="D6" s="24">
        <v>2</v>
      </c>
      <c r="E6" s="22">
        <v>2</v>
      </c>
      <c r="F6" s="22">
        <v>0</v>
      </c>
      <c r="G6" s="25">
        <f t="shared" si="0"/>
        <v>19</v>
      </c>
      <c r="H6" s="25">
        <v>3.1</v>
      </c>
      <c r="I6" s="25">
        <v>0.7</v>
      </c>
      <c r="J6" s="25">
        <v>0.6</v>
      </c>
      <c r="K6" s="25">
        <v>0</v>
      </c>
      <c r="L6" s="25">
        <v>0.15</v>
      </c>
      <c r="M6" s="25">
        <v>0</v>
      </c>
      <c r="N6" s="25">
        <v>0</v>
      </c>
      <c r="O6" s="25">
        <v>0</v>
      </c>
      <c r="P6" s="25">
        <v>0</v>
      </c>
      <c r="Q6" s="25">
        <v>0.9</v>
      </c>
      <c r="R6" s="25">
        <v>0</v>
      </c>
      <c r="S6" s="25">
        <v>0</v>
      </c>
      <c r="T6" s="25">
        <v>1.5</v>
      </c>
      <c r="U6" s="25">
        <v>0</v>
      </c>
      <c r="V6" s="25">
        <v>0</v>
      </c>
      <c r="W6" s="25">
        <v>0.25</v>
      </c>
      <c r="X6" s="25">
        <v>0</v>
      </c>
      <c r="Y6" s="25">
        <v>11.8</v>
      </c>
      <c r="Z6" s="25"/>
      <c r="AA6" s="25"/>
      <c r="AB6" s="25"/>
      <c r="AC6" s="25"/>
      <c r="AD6" s="25"/>
      <c r="AE6" s="25"/>
      <c r="AF6" s="1"/>
      <c r="AG6" s="1"/>
    </row>
    <row r="7" spans="1:35" x14ac:dyDescent="0.3">
      <c r="A7" s="155"/>
      <c r="B7" s="22">
        <v>5</v>
      </c>
      <c r="C7" s="23">
        <v>44186</v>
      </c>
      <c r="D7" s="24">
        <v>2</v>
      </c>
      <c r="E7" s="22">
        <v>1</v>
      </c>
      <c r="F7" s="22">
        <v>0</v>
      </c>
      <c r="G7" s="25">
        <f t="shared" si="0"/>
        <v>74.25</v>
      </c>
      <c r="H7" s="25">
        <v>16.899999999999999</v>
      </c>
      <c r="I7" s="25">
        <v>1.9</v>
      </c>
      <c r="J7" s="25">
        <v>1.7</v>
      </c>
      <c r="K7" s="25">
        <v>0</v>
      </c>
      <c r="L7" s="25">
        <f>0.3/2</f>
        <v>0.15</v>
      </c>
      <c r="M7" s="25">
        <f>0.3/2</f>
        <v>0.15</v>
      </c>
      <c r="N7" s="25">
        <v>0</v>
      </c>
      <c r="O7" s="25">
        <f>2.05/2</f>
        <v>1.0249999999999999</v>
      </c>
      <c r="P7" s="25">
        <f>2.05/2</f>
        <v>1.0249999999999999</v>
      </c>
      <c r="Q7" s="25">
        <v>10.9</v>
      </c>
      <c r="R7" s="25">
        <v>2</v>
      </c>
      <c r="S7" s="25">
        <v>0</v>
      </c>
      <c r="T7" s="25">
        <v>6</v>
      </c>
      <c r="U7" s="25">
        <v>1.7</v>
      </c>
      <c r="V7" s="25">
        <v>0</v>
      </c>
      <c r="W7" s="25">
        <v>0.9</v>
      </c>
      <c r="X7" s="25">
        <v>0</v>
      </c>
      <c r="Y7" s="25">
        <v>29.9</v>
      </c>
      <c r="Z7" s="25"/>
      <c r="AA7" s="25"/>
      <c r="AB7" s="25"/>
      <c r="AC7" s="25"/>
      <c r="AD7" s="25"/>
      <c r="AE7" s="25"/>
      <c r="AH7" s="1"/>
    </row>
    <row r="8" spans="1:35" x14ac:dyDescent="0.3">
      <c r="A8" s="155"/>
      <c r="B8" s="22">
        <v>5</v>
      </c>
      <c r="C8" s="23">
        <v>44186</v>
      </c>
      <c r="D8" s="24">
        <v>2</v>
      </c>
      <c r="E8" s="22">
        <v>2</v>
      </c>
      <c r="F8" s="22">
        <v>0</v>
      </c>
      <c r="G8" s="25">
        <f t="shared" si="0"/>
        <v>84</v>
      </c>
      <c r="H8" s="26">
        <v>8.4</v>
      </c>
      <c r="I8" s="26">
        <v>1.7</v>
      </c>
      <c r="J8" s="26">
        <v>2.1</v>
      </c>
      <c r="K8" s="26">
        <v>0.3</v>
      </c>
      <c r="L8" s="26">
        <f>(8.4-5.2)/2</f>
        <v>1.6</v>
      </c>
      <c r="M8" s="26">
        <f>(8.4-5.2)/2</f>
        <v>1.6</v>
      </c>
      <c r="N8" s="26">
        <v>0</v>
      </c>
      <c r="O8" s="26">
        <f>0.6/2</f>
        <v>0.3</v>
      </c>
      <c r="P8" s="26">
        <f>0.6/2</f>
        <v>0.3</v>
      </c>
      <c r="Q8" s="26">
        <f>20-5.4</f>
        <v>14.6</v>
      </c>
      <c r="R8" s="26">
        <v>1.5</v>
      </c>
      <c r="S8" s="26">
        <v>0</v>
      </c>
      <c r="T8" s="25">
        <f>9.8-4.8</f>
        <v>5.0000000000000009</v>
      </c>
      <c r="U8" s="25">
        <f>7-5.4</f>
        <v>1.5999999999999996</v>
      </c>
      <c r="V8" s="25">
        <v>0</v>
      </c>
      <c r="W8" s="25">
        <v>0</v>
      </c>
      <c r="X8" s="25">
        <v>0</v>
      </c>
      <c r="Y8" s="25">
        <f>58-13</f>
        <v>45</v>
      </c>
      <c r="Z8" s="25"/>
      <c r="AA8" s="25"/>
      <c r="AB8" s="25"/>
      <c r="AC8" s="25"/>
      <c r="AD8" s="25"/>
      <c r="AE8" s="25"/>
      <c r="AF8" s="1"/>
      <c r="AG8" s="1"/>
    </row>
    <row r="9" spans="1:35" x14ac:dyDescent="0.3">
      <c r="A9" s="8"/>
      <c r="D9" s="6"/>
      <c r="F9" t="s">
        <v>75</v>
      </c>
      <c r="G9" s="42">
        <f>SUM(G4:G8)</f>
        <v>240.3</v>
      </c>
      <c r="H9" s="42">
        <f t="shared" ref="H9:Y9" si="1">SUM(H4:H8)</f>
        <v>43.15</v>
      </c>
      <c r="I9" s="42">
        <f t="shared" si="1"/>
        <v>5.8</v>
      </c>
      <c r="J9" s="42">
        <f t="shared" si="1"/>
        <v>5.8000000000000007</v>
      </c>
      <c r="K9" s="42">
        <f t="shared" si="1"/>
        <v>0.3</v>
      </c>
      <c r="L9" s="42">
        <f t="shared" si="1"/>
        <v>2.95</v>
      </c>
      <c r="M9" s="42">
        <f t="shared" si="1"/>
        <v>2.6</v>
      </c>
      <c r="N9" s="42">
        <f t="shared" si="1"/>
        <v>0</v>
      </c>
      <c r="O9" s="42">
        <f t="shared" si="1"/>
        <v>1.425</v>
      </c>
      <c r="P9" s="42">
        <f t="shared" si="1"/>
        <v>1.325</v>
      </c>
      <c r="Q9" s="42">
        <f t="shared" si="1"/>
        <v>28.2</v>
      </c>
      <c r="R9" s="42">
        <f t="shared" si="1"/>
        <v>13.7</v>
      </c>
      <c r="S9" s="42">
        <f t="shared" si="1"/>
        <v>0</v>
      </c>
      <c r="T9" s="42">
        <f t="shared" si="1"/>
        <v>16.150000000000002</v>
      </c>
      <c r="U9" s="42">
        <f t="shared" si="1"/>
        <v>5.35</v>
      </c>
      <c r="V9" s="42">
        <f t="shared" si="1"/>
        <v>0</v>
      </c>
      <c r="W9" s="42">
        <f t="shared" si="1"/>
        <v>2.15</v>
      </c>
      <c r="X9" s="42">
        <f t="shared" si="1"/>
        <v>0</v>
      </c>
      <c r="Y9" s="42">
        <f t="shared" si="1"/>
        <v>111.4</v>
      </c>
      <c r="Z9" s="42"/>
      <c r="AA9" s="42"/>
      <c r="AB9" s="42"/>
      <c r="AC9" s="42"/>
      <c r="AD9" s="42"/>
      <c r="AE9" s="42"/>
    </row>
    <row r="10" spans="1:35" x14ac:dyDescent="0.3">
      <c r="A10" s="8"/>
      <c r="D10" s="6"/>
      <c r="F10" t="s">
        <v>73</v>
      </c>
      <c r="G10" s="42">
        <f>SUMIF($E$4:$E$8,1,G4:G8)</f>
        <v>104.45</v>
      </c>
      <c r="H10" s="42">
        <f>SUMIF($E$4:$E$8,1,H4:H8)</f>
        <v>25.4</v>
      </c>
      <c r="I10" s="42">
        <f t="shared" ref="I10:Y10" si="2">SUMIF($E$4:$E$8,1,I4:I8)</f>
        <v>2.1999999999999997</v>
      </c>
      <c r="J10" s="42">
        <f t="shared" si="2"/>
        <v>1.9</v>
      </c>
      <c r="K10" s="42">
        <f t="shared" si="2"/>
        <v>0</v>
      </c>
      <c r="L10" s="42">
        <f t="shared" si="2"/>
        <v>0.35</v>
      </c>
      <c r="M10" s="42">
        <f t="shared" si="2"/>
        <v>0.15</v>
      </c>
      <c r="N10" s="42">
        <f t="shared" si="2"/>
        <v>0</v>
      </c>
      <c r="O10" s="42">
        <f t="shared" si="2"/>
        <v>1.0249999999999999</v>
      </c>
      <c r="P10" s="42">
        <f t="shared" si="2"/>
        <v>1.0249999999999999</v>
      </c>
      <c r="Q10" s="42">
        <f t="shared" si="2"/>
        <v>11.4</v>
      </c>
      <c r="R10" s="42">
        <f t="shared" si="2"/>
        <v>11</v>
      </c>
      <c r="S10" s="42">
        <f t="shared" si="2"/>
        <v>0</v>
      </c>
      <c r="T10" s="42">
        <f t="shared" si="2"/>
        <v>8</v>
      </c>
      <c r="U10" s="42">
        <f t="shared" si="2"/>
        <v>1.7</v>
      </c>
      <c r="V10" s="42">
        <f t="shared" si="2"/>
        <v>0</v>
      </c>
      <c r="W10" s="42">
        <f t="shared" si="2"/>
        <v>1.9</v>
      </c>
      <c r="X10" s="42">
        <f t="shared" si="2"/>
        <v>0</v>
      </c>
      <c r="Y10" s="42">
        <f t="shared" si="2"/>
        <v>38.4</v>
      </c>
      <c r="Z10" s="42"/>
      <c r="AA10" s="42"/>
      <c r="AB10" s="42"/>
      <c r="AC10" s="42"/>
      <c r="AD10" s="42"/>
      <c r="AE10" s="42"/>
    </row>
    <row r="11" spans="1:35" x14ac:dyDescent="0.3">
      <c r="A11" s="8"/>
      <c r="D11" s="6"/>
      <c r="F11" t="s">
        <v>74</v>
      </c>
      <c r="G11" s="42">
        <f>(SUMIF($E$4:$E$8,2,G4:G8))+(SUMIF($E$4:$E$8,0,G4:G8))</f>
        <v>135.85</v>
      </c>
      <c r="H11" s="42">
        <f t="shared" ref="H11:Y11" si="3">(SUMIF($E$4:$E$8,2,H4:H8))+(SUMIF($E$4:$E$8,0,H4:H8))</f>
        <v>17.75</v>
      </c>
      <c r="I11" s="42">
        <f t="shared" si="3"/>
        <v>3.6</v>
      </c>
      <c r="J11" s="42">
        <f t="shared" si="3"/>
        <v>3.9000000000000004</v>
      </c>
      <c r="K11" s="42">
        <f t="shared" si="3"/>
        <v>0.3</v>
      </c>
      <c r="L11" s="42">
        <f t="shared" si="3"/>
        <v>2.6</v>
      </c>
      <c r="M11" s="42">
        <f t="shared" si="3"/>
        <v>2.4500000000000002</v>
      </c>
      <c r="N11" s="42">
        <f t="shared" si="3"/>
        <v>0</v>
      </c>
      <c r="O11" s="42">
        <f t="shared" si="3"/>
        <v>0.4</v>
      </c>
      <c r="P11" s="42">
        <f t="shared" si="3"/>
        <v>0.3</v>
      </c>
      <c r="Q11" s="42">
        <f t="shared" si="3"/>
        <v>16.8</v>
      </c>
      <c r="R11" s="42">
        <f t="shared" si="3"/>
        <v>2.7</v>
      </c>
      <c r="S11" s="42">
        <f t="shared" si="3"/>
        <v>0</v>
      </c>
      <c r="T11" s="42">
        <f t="shared" si="3"/>
        <v>8.15</v>
      </c>
      <c r="U11" s="42">
        <f t="shared" si="3"/>
        <v>3.6499999999999995</v>
      </c>
      <c r="V11" s="42">
        <f t="shared" si="3"/>
        <v>0</v>
      </c>
      <c r="W11" s="42">
        <f t="shared" si="3"/>
        <v>0.25</v>
      </c>
      <c r="X11" s="42">
        <f t="shared" si="3"/>
        <v>0</v>
      </c>
      <c r="Y11" s="42">
        <f t="shared" si="3"/>
        <v>73</v>
      </c>
      <c r="Z11" s="42"/>
      <c r="AA11" s="42"/>
      <c r="AB11" s="42"/>
      <c r="AC11" s="42"/>
      <c r="AD11" s="42"/>
      <c r="AE11" s="42"/>
    </row>
    <row r="12" spans="1:35" x14ac:dyDescent="0.3">
      <c r="A12" s="8"/>
      <c r="D12" s="6"/>
      <c r="G12" s="3"/>
      <c r="H12" s="3"/>
      <c r="I12" s="3"/>
      <c r="J12" s="3"/>
      <c r="K12" s="3"/>
      <c r="L12" s="3"/>
      <c r="M12" s="3"/>
      <c r="N12" s="3"/>
      <c r="O12" s="3"/>
      <c r="P12" s="3"/>
      <c r="Q12" s="3"/>
      <c r="R12" s="3"/>
      <c r="S12" s="3"/>
      <c r="T12" s="3"/>
      <c r="U12" s="3"/>
      <c r="V12" s="3"/>
      <c r="W12" s="3"/>
      <c r="X12" s="3"/>
      <c r="Y12" s="3"/>
      <c r="Z12" s="3"/>
      <c r="AA12" s="3"/>
      <c r="AB12" s="3"/>
      <c r="AC12" s="3"/>
      <c r="AD12" s="3"/>
      <c r="AE12" s="3"/>
    </row>
    <row r="13" spans="1:35" x14ac:dyDescent="0.3">
      <c r="A13" s="155" t="s">
        <v>64</v>
      </c>
      <c r="B13" s="17">
        <v>1</v>
      </c>
      <c r="C13" s="18">
        <v>44187</v>
      </c>
      <c r="D13" s="19">
        <v>3</v>
      </c>
      <c r="E13" s="17">
        <v>1</v>
      </c>
      <c r="F13" s="17">
        <v>0</v>
      </c>
      <c r="G13" s="20">
        <f t="shared" si="0"/>
        <v>14.450000000000001</v>
      </c>
      <c r="H13" s="20">
        <v>1.5</v>
      </c>
      <c r="I13" s="20">
        <v>0.2</v>
      </c>
      <c r="J13" s="20">
        <v>0.1</v>
      </c>
      <c r="K13" s="20">
        <v>0</v>
      </c>
      <c r="L13" s="20">
        <f>0.1/2</f>
        <v>0.05</v>
      </c>
      <c r="M13" s="20">
        <f>0.1/2</f>
        <v>0.05</v>
      </c>
      <c r="N13" s="20">
        <v>0</v>
      </c>
      <c r="O13" s="20">
        <v>0.3</v>
      </c>
      <c r="P13" s="20">
        <v>0</v>
      </c>
      <c r="Q13" s="20">
        <v>0</v>
      </c>
      <c r="R13" s="20">
        <v>0.35</v>
      </c>
      <c r="S13" s="20">
        <v>0</v>
      </c>
      <c r="T13" s="20">
        <v>0</v>
      </c>
      <c r="U13" s="20">
        <v>0</v>
      </c>
      <c r="V13" s="20">
        <v>0</v>
      </c>
      <c r="W13" s="20">
        <v>0</v>
      </c>
      <c r="X13" s="20">
        <v>0</v>
      </c>
      <c r="Y13" s="20">
        <v>11.9</v>
      </c>
      <c r="Z13" s="20"/>
      <c r="AA13" s="20"/>
      <c r="AB13" s="20"/>
      <c r="AC13" s="20"/>
      <c r="AD13" s="20"/>
      <c r="AE13" s="20"/>
      <c r="AF13" s="2"/>
      <c r="AG13" s="1"/>
      <c r="AH13" s="1"/>
      <c r="AI13" s="4"/>
    </row>
    <row r="14" spans="1:35" x14ac:dyDescent="0.3">
      <c r="A14" s="155"/>
      <c r="B14" s="17">
        <v>2</v>
      </c>
      <c r="C14" s="18">
        <v>44187</v>
      </c>
      <c r="D14" s="19">
        <v>3</v>
      </c>
      <c r="E14" s="17">
        <v>2</v>
      </c>
      <c r="F14" s="17">
        <v>0</v>
      </c>
      <c r="G14" s="20">
        <f t="shared" si="0"/>
        <v>10.4</v>
      </c>
      <c r="H14" s="20">
        <v>1.1000000000000001</v>
      </c>
      <c r="I14" s="20">
        <v>0.9</v>
      </c>
      <c r="J14" s="20">
        <v>1</v>
      </c>
      <c r="K14" s="20">
        <v>0</v>
      </c>
      <c r="L14" s="20">
        <v>1.1000000000000001</v>
      </c>
      <c r="M14" s="20">
        <v>0</v>
      </c>
      <c r="N14" s="20">
        <v>0</v>
      </c>
      <c r="O14" s="20">
        <v>0.05</v>
      </c>
      <c r="P14" s="20">
        <v>0</v>
      </c>
      <c r="Q14" s="20">
        <v>0.3</v>
      </c>
      <c r="R14" s="20">
        <v>0.4</v>
      </c>
      <c r="S14" s="20">
        <v>0</v>
      </c>
      <c r="T14" s="20">
        <v>1.4</v>
      </c>
      <c r="U14" s="20">
        <v>0.3</v>
      </c>
      <c r="V14" s="20">
        <v>0</v>
      </c>
      <c r="W14" s="20">
        <v>0.65</v>
      </c>
      <c r="X14" s="20">
        <v>0</v>
      </c>
      <c r="Y14" s="20">
        <v>3.2</v>
      </c>
      <c r="Z14" s="20"/>
      <c r="AA14" s="20"/>
      <c r="AB14" s="20"/>
      <c r="AC14" s="20"/>
      <c r="AD14" s="20"/>
      <c r="AE14" s="20"/>
      <c r="AF14" s="1"/>
      <c r="AG14" s="1"/>
      <c r="AH14" s="4"/>
      <c r="AI14" s="4"/>
    </row>
    <row r="15" spans="1:35" x14ac:dyDescent="0.3">
      <c r="A15" s="155"/>
      <c r="B15" s="17">
        <v>3</v>
      </c>
      <c r="C15" s="18">
        <v>44187</v>
      </c>
      <c r="D15" s="19">
        <v>3</v>
      </c>
      <c r="E15" s="17">
        <v>1</v>
      </c>
      <c r="F15" s="17">
        <v>0</v>
      </c>
      <c r="G15" s="20">
        <f t="shared" si="0"/>
        <v>2.5499999999999998</v>
      </c>
      <c r="H15" s="20">
        <v>0</v>
      </c>
      <c r="I15" s="20">
        <v>0.35</v>
      </c>
      <c r="J15" s="20">
        <v>0.4</v>
      </c>
      <c r="K15" s="20">
        <v>0</v>
      </c>
      <c r="L15" s="20">
        <v>0.7</v>
      </c>
      <c r="M15" s="20">
        <v>0</v>
      </c>
      <c r="N15" s="20">
        <v>0</v>
      </c>
      <c r="O15" s="20">
        <v>0.05</v>
      </c>
      <c r="P15" s="20">
        <v>0</v>
      </c>
      <c r="Q15" s="20">
        <v>0</v>
      </c>
      <c r="R15" s="20">
        <v>0.2</v>
      </c>
      <c r="S15" s="20">
        <v>0</v>
      </c>
      <c r="T15" s="20">
        <v>0</v>
      </c>
      <c r="U15" s="20">
        <v>0.35</v>
      </c>
      <c r="V15" s="20">
        <v>0</v>
      </c>
      <c r="W15" s="20">
        <v>0.5</v>
      </c>
      <c r="X15" s="20">
        <v>0</v>
      </c>
      <c r="Y15" s="20">
        <v>0</v>
      </c>
      <c r="Z15" s="20"/>
      <c r="AA15" s="20"/>
      <c r="AB15" s="20"/>
      <c r="AC15" s="20"/>
      <c r="AD15" s="20"/>
      <c r="AE15" s="20"/>
      <c r="AF15" s="2"/>
      <c r="AG15" s="1"/>
      <c r="AH15" s="1"/>
      <c r="AI15" s="4"/>
    </row>
    <row r="16" spans="1:35" x14ac:dyDescent="0.3">
      <c r="A16" s="155"/>
      <c r="B16" s="17">
        <v>4</v>
      </c>
      <c r="C16" s="18">
        <v>44187</v>
      </c>
      <c r="D16" s="19">
        <v>3</v>
      </c>
      <c r="E16" s="17">
        <v>2</v>
      </c>
      <c r="F16" s="17">
        <v>0</v>
      </c>
      <c r="G16" s="20">
        <f t="shared" si="0"/>
        <v>6.1999999999999993</v>
      </c>
      <c r="H16" s="20">
        <v>2.65</v>
      </c>
      <c r="I16" s="20">
        <v>0.25</v>
      </c>
      <c r="J16" s="20">
        <v>0.3</v>
      </c>
      <c r="K16" s="20">
        <v>0</v>
      </c>
      <c r="L16" s="20">
        <v>0.2</v>
      </c>
      <c r="M16" s="20">
        <v>0</v>
      </c>
      <c r="N16" s="20">
        <v>0</v>
      </c>
      <c r="O16" s="20">
        <v>0</v>
      </c>
      <c r="P16" s="20">
        <v>0</v>
      </c>
      <c r="Q16" s="20">
        <v>0.4</v>
      </c>
      <c r="R16" s="20">
        <v>0.3</v>
      </c>
      <c r="S16" s="20">
        <v>0</v>
      </c>
      <c r="T16" s="20">
        <v>1.1000000000000001</v>
      </c>
      <c r="U16" s="20">
        <v>0.25</v>
      </c>
      <c r="V16" s="20">
        <v>0</v>
      </c>
      <c r="W16" s="20">
        <v>0.75</v>
      </c>
      <c r="X16" s="20">
        <v>0</v>
      </c>
      <c r="Y16" s="20">
        <v>0</v>
      </c>
      <c r="Z16" s="20"/>
      <c r="AA16" s="20"/>
      <c r="AB16" s="20"/>
      <c r="AC16" s="20"/>
      <c r="AD16" s="20"/>
      <c r="AE16" s="20"/>
      <c r="AF16" s="1"/>
      <c r="AG16" s="1"/>
      <c r="AH16" s="4"/>
      <c r="AI16" s="4"/>
    </row>
    <row r="17" spans="1:35" x14ac:dyDescent="0.3">
      <c r="A17" s="155"/>
      <c r="B17" s="17">
        <v>5</v>
      </c>
      <c r="C17" s="18">
        <v>44187</v>
      </c>
      <c r="D17" s="19">
        <v>3</v>
      </c>
      <c r="E17" s="17">
        <v>1</v>
      </c>
      <c r="F17" s="17">
        <v>0</v>
      </c>
      <c r="G17" s="20">
        <f t="shared" si="0"/>
        <v>69.8</v>
      </c>
      <c r="H17" s="21">
        <v>6.5</v>
      </c>
      <c r="I17" s="20">
        <v>1.9</v>
      </c>
      <c r="J17" s="20">
        <v>2.2000000000000002</v>
      </c>
      <c r="K17" s="20">
        <v>0</v>
      </c>
      <c r="L17" s="20">
        <f>0.3/2</f>
        <v>0.15</v>
      </c>
      <c r="M17" s="20">
        <f>0.3/2</f>
        <v>0.15</v>
      </c>
      <c r="N17" s="20">
        <v>0</v>
      </c>
      <c r="O17" s="20">
        <f>3/2</f>
        <v>1.5</v>
      </c>
      <c r="P17" s="20">
        <f>3/2</f>
        <v>1.5</v>
      </c>
      <c r="Q17" s="20">
        <v>1.6</v>
      </c>
      <c r="R17" s="20">
        <v>0.4</v>
      </c>
      <c r="S17" s="20">
        <v>0</v>
      </c>
      <c r="T17" s="20">
        <v>12.5</v>
      </c>
      <c r="U17" s="20">
        <v>1.4</v>
      </c>
      <c r="V17" s="20">
        <v>0</v>
      </c>
      <c r="W17" s="20">
        <v>0</v>
      </c>
      <c r="X17" s="20">
        <v>0</v>
      </c>
      <c r="Y17" s="20">
        <v>40</v>
      </c>
      <c r="Z17" s="20"/>
      <c r="AA17" s="20"/>
      <c r="AB17" s="20"/>
      <c r="AC17" s="20"/>
      <c r="AD17" s="20"/>
      <c r="AE17" s="20"/>
      <c r="AF17" s="2"/>
      <c r="AG17" s="1"/>
      <c r="AH17" s="1"/>
      <c r="AI17" s="4"/>
    </row>
    <row r="18" spans="1:35" x14ac:dyDescent="0.3">
      <c r="A18" s="155"/>
      <c r="B18" s="17">
        <v>5</v>
      </c>
      <c r="C18" s="18">
        <v>44187</v>
      </c>
      <c r="D18" s="19">
        <v>3</v>
      </c>
      <c r="E18" s="17">
        <v>2</v>
      </c>
      <c r="F18" s="17">
        <v>0</v>
      </c>
      <c r="G18" s="20">
        <f t="shared" si="0"/>
        <v>48.1</v>
      </c>
      <c r="H18" s="21">
        <v>7.9</v>
      </c>
      <c r="I18" s="20">
        <v>1</v>
      </c>
      <c r="J18" s="20">
        <v>0.75</v>
      </c>
      <c r="K18" s="20">
        <v>0</v>
      </c>
      <c r="L18" s="20">
        <f>0.6/2</f>
        <v>0.3</v>
      </c>
      <c r="M18" s="20">
        <f>0.6/2</f>
        <v>0.3</v>
      </c>
      <c r="N18" s="20">
        <v>0</v>
      </c>
      <c r="O18" s="20">
        <f>0.5/2</f>
        <v>0.25</v>
      </c>
      <c r="P18" s="20">
        <f>0.5/2</f>
        <v>0.25</v>
      </c>
      <c r="Q18" s="20">
        <v>4</v>
      </c>
      <c r="R18" s="20">
        <v>0.9</v>
      </c>
      <c r="S18" s="20">
        <v>0</v>
      </c>
      <c r="T18" s="20">
        <v>5.05</v>
      </c>
      <c r="U18" s="20">
        <v>1.4</v>
      </c>
      <c r="V18" s="20">
        <v>0</v>
      </c>
      <c r="W18" s="20">
        <v>0</v>
      </c>
      <c r="X18" s="20">
        <v>0</v>
      </c>
      <c r="Y18" s="20">
        <v>26</v>
      </c>
      <c r="Z18" s="20"/>
      <c r="AA18" s="20"/>
      <c r="AB18" s="20"/>
      <c r="AC18" s="20"/>
      <c r="AD18" s="20"/>
      <c r="AE18" s="20"/>
      <c r="AF18" s="1"/>
      <c r="AG18" s="1"/>
      <c r="AH18" s="4"/>
      <c r="AI18" s="4"/>
    </row>
    <row r="19" spans="1:35" x14ac:dyDescent="0.3">
      <c r="A19" s="155"/>
      <c r="B19" s="17">
        <v>1</v>
      </c>
      <c r="C19" s="18">
        <v>44187</v>
      </c>
      <c r="D19" s="19">
        <v>3</v>
      </c>
      <c r="E19" s="17">
        <v>2</v>
      </c>
      <c r="F19" s="17">
        <v>0</v>
      </c>
      <c r="G19" s="20">
        <f t="shared" si="0"/>
        <v>14.35</v>
      </c>
      <c r="H19" s="20">
        <v>0.75</v>
      </c>
      <c r="I19" s="20">
        <v>1.1000000000000001</v>
      </c>
      <c r="J19" s="20">
        <v>1.2</v>
      </c>
      <c r="K19" s="20">
        <v>0</v>
      </c>
      <c r="L19" s="20">
        <f>0.5/2</f>
        <v>0.25</v>
      </c>
      <c r="M19" s="20">
        <f>0.5/2</f>
        <v>0.25</v>
      </c>
      <c r="N19" s="20">
        <v>0</v>
      </c>
      <c r="O19" s="20">
        <v>0.2</v>
      </c>
      <c r="P19" s="20">
        <v>0</v>
      </c>
      <c r="Q19" s="20">
        <v>0.3</v>
      </c>
      <c r="R19" s="20">
        <v>0.1</v>
      </c>
      <c r="S19" s="20">
        <v>0</v>
      </c>
      <c r="T19" s="20">
        <v>0.75</v>
      </c>
      <c r="U19" s="20">
        <v>1</v>
      </c>
      <c r="V19" s="20">
        <v>0</v>
      </c>
      <c r="W19" s="20">
        <v>0.55000000000000004</v>
      </c>
      <c r="X19" s="20">
        <v>0</v>
      </c>
      <c r="Y19" s="20">
        <v>7.9</v>
      </c>
      <c r="Z19" s="20"/>
      <c r="AA19" s="20"/>
      <c r="AB19" s="20"/>
      <c r="AC19" s="20"/>
      <c r="AD19" s="20"/>
      <c r="AE19" s="20"/>
      <c r="AF19" s="1"/>
      <c r="AG19" s="1"/>
      <c r="AH19" s="4"/>
      <c r="AI19" s="4"/>
    </row>
    <row r="20" spans="1:35" x14ac:dyDescent="0.3">
      <c r="A20" s="8"/>
      <c r="D20" s="6"/>
      <c r="F20" t="s">
        <v>75</v>
      </c>
      <c r="G20" s="42">
        <f>SUM(G13:G19)</f>
        <v>165.85</v>
      </c>
      <c r="H20" s="42">
        <f t="shared" ref="H20:Y20" si="4">SUM(H13:H19)</f>
        <v>20.399999999999999</v>
      </c>
      <c r="I20" s="42">
        <f t="shared" si="4"/>
        <v>5.6999999999999993</v>
      </c>
      <c r="J20" s="42">
        <f t="shared" si="4"/>
        <v>5.95</v>
      </c>
      <c r="K20" s="42">
        <f t="shared" si="4"/>
        <v>0</v>
      </c>
      <c r="L20" s="42">
        <f t="shared" si="4"/>
        <v>2.75</v>
      </c>
      <c r="M20" s="42">
        <f t="shared" si="4"/>
        <v>0.75</v>
      </c>
      <c r="N20" s="42">
        <f t="shared" si="4"/>
        <v>0</v>
      </c>
      <c r="O20" s="42">
        <f t="shared" si="4"/>
        <v>2.35</v>
      </c>
      <c r="P20" s="42">
        <f t="shared" si="4"/>
        <v>1.75</v>
      </c>
      <c r="Q20" s="42">
        <f t="shared" si="4"/>
        <v>6.6</v>
      </c>
      <c r="R20" s="42">
        <f t="shared" si="4"/>
        <v>2.65</v>
      </c>
      <c r="S20" s="42">
        <f t="shared" si="4"/>
        <v>0</v>
      </c>
      <c r="T20" s="42">
        <f t="shared" si="4"/>
        <v>20.8</v>
      </c>
      <c r="U20" s="42">
        <f t="shared" si="4"/>
        <v>4.6999999999999993</v>
      </c>
      <c r="V20" s="42">
        <f t="shared" si="4"/>
        <v>0</v>
      </c>
      <c r="W20" s="42">
        <f t="shared" si="4"/>
        <v>2.4500000000000002</v>
      </c>
      <c r="X20" s="42">
        <f t="shared" si="4"/>
        <v>0</v>
      </c>
      <c r="Y20" s="42">
        <f t="shared" si="4"/>
        <v>89</v>
      </c>
      <c r="Z20" s="42"/>
      <c r="AA20" s="42"/>
      <c r="AB20" s="42"/>
      <c r="AC20" s="42"/>
      <c r="AD20" s="42"/>
      <c r="AE20" s="42"/>
    </row>
    <row r="21" spans="1:35" x14ac:dyDescent="0.3">
      <c r="A21" s="8"/>
      <c r="D21" s="6"/>
      <c r="F21" t="s">
        <v>73</v>
      </c>
      <c r="G21" s="42">
        <f>SUMIF($E$13:$E$19,1,G13:G19)</f>
        <v>86.8</v>
      </c>
      <c r="H21" s="42">
        <f t="shared" ref="H21:Y21" si="5">SUMIF($E$13:$E$19,1,H13:H19)</f>
        <v>8</v>
      </c>
      <c r="I21" s="42">
        <f t="shared" si="5"/>
        <v>2.4500000000000002</v>
      </c>
      <c r="J21" s="42">
        <f t="shared" si="5"/>
        <v>2.7</v>
      </c>
      <c r="K21" s="42">
        <f t="shared" si="5"/>
        <v>0</v>
      </c>
      <c r="L21" s="42">
        <f t="shared" si="5"/>
        <v>0.9</v>
      </c>
      <c r="M21" s="42">
        <f t="shared" si="5"/>
        <v>0.2</v>
      </c>
      <c r="N21" s="42">
        <f t="shared" si="5"/>
        <v>0</v>
      </c>
      <c r="O21" s="42">
        <f t="shared" si="5"/>
        <v>1.85</v>
      </c>
      <c r="P21" s="42">
        <f t="shared" si="5"/>
        <v>1.5</v>
      </c>
      <c r="Q21" s="42">
        <f t="shared" si="5"/>
        <v>1.6</v>
      </c>
      <c r="R21" s="42">
        <f t="shared" si="5"/>
        <v>0.95000000000000007</v>
      </c>
      <c r="S21" s="42">
        <f t="shared" si="5"/>
        <v>0</v>
      </c>
      <c r="T21" s="42">
        <f t="shared" si="5"/>
        <v>12.5</v>
      </c>
      <c r="U21" s="42">
        <f t="shared" si="5"/>
        <v>1.75</v>
      </c>
      <c r="V21" s="42">
        <f t="shared" si="5"/>
        <v>0</v>
      </c>
      <c r="W21" s="42">
        <f t="shared" si="5"/>
        <v>0.5</v>
      </c>
      <c r="X21" s="42">
        <f t="shared" si="5"/>
        <v>0</v>
      </c>
      <c r="Y21" s="42">
        <f t="shared" si="5"/>
        <v>51.9</v>
      </c>
      <c r="Z21" s="42"/>
      <c r="AA21" s="42"/>
      <c r="AB21" s="42"/>
      <c r="AC21" s="42"/>
      <c r="AD21" s="42"/>
      <c r="AE21" s="42"/>
    </row>
    <row r="22" spans="1:35" x14ac:dyDescent="0.3">
      <c r="A22" s="8"/>
      <c r="D22" s="6"/>
      <c r="F22" t="s">
        <v>74</v>
      </c>
      <c r="G22" s="42">
        <f>SUMIF($E$13:$E$19,2,G13:G19)</f>
        <v>79.05</v>
      </c>
      <c r="H22" s="42">
        <f t="shared" ref="H22:Y22" si="6">SUMIF($E$13:$E$19,2,H13:H19)</f>
        <v>12.4</v>
      </c>
      <c r="I22" s="42">
        <f t="shared" si="6"/>
        <v>3.25</v>
      </c>
      <c r="J22" s="42">
        <f t="shared" si="6"/>
        <v>3.25</v>
      </c>
      <c r="K22" s="42">
        <f t="shared" si="6"/>
        <v>0</v>
      </c>
      <c r="L22" s="42">
        <f t="shared" si="6"/>
        <v>1.85</v>
      </c>
      <c r="M22" s="42">
        <f t="shared" si="6"/>
        <v>0.55000000000000004</v>
      </c>
      <c r="N22" s="42">
        <f t="shared" si="6"/>
        <v>0</v>
      </c>
      <c r="O22" s="42">
        <f t="shared" si="6"/>
        <v>0.5</v>
      </c>
      <c r="P22" s="42">
        <f t="shared" si="6"/>
        <v>0.25</v>
      </c>
      <c r="Q22" s="42">
        <f t="shared" si="6"/>
        <v>5</v>
      </c>
      <c r="R22" s="42">
        <f t="shared" si="6"/>
        <v>1.7000000000000002</v>
      </c>
      <c r="S22" s="42">
        <f t="shared" si="6"/>
        <v>0</v>
      </c>
      <c r="T22" s="42">
        <f t="shared" si="6"/>
        <v>8.3000000000000007</v>
      </c>
      <c r="U22" s="42">
        <f t="shared" si="6"/>
        <v>2.95</v>
      </c>
      <c r="V22" s="42">
        <f t="shared" si="6"/>
        <v>0</v>
      </c>
      <c r="W22" s="42">
        <f t="shared" si="6"/>
        <v>1.95</v>
      </c>
      <c r="X22" s="42">
        <f t="shared" si="6"/>
        <v>0</v>
      </c>
      <c r="Y22" s="42">
        <f t="shared" si="6"/>
        <v>37.1</v>
      </c>
      <c r="Z22" s="42"/>
      <c r="AA22" s="42"/>
      <c r="AB22" s="42"/>
      <c r="AC22" s="42"/>
      <c r="AD22" s="42"/>
      <c r="AE22" s="42"/>
    </row>
    <row r="23" spans="1:35" x14ac:dyDescent="0.3">
      <c r="A23" s="8"/>
      <c r="D23" s="6"/>
      <c r="G23" s="3"/>
      <c r="H23" s="3"/>
      <c r="I23" s="3"/>
      <c r="J23" s="3"/>
      <c r="K23" s="3"/>
      <c r="L23" s="3"/>
      <c r="M23" s="3"/>
      <c r="N23" s="3"/>
      <c r="O23" s="3"/>
      <c r="P23" s="3"/>
      <c r="Q23" s="3"/>
      <c r="R23" s="3"/>
      <c r="S23" s="3"/>
      <c r="T23" s="3"/>
      <c r="U23" s="3"/>
      <c r="V23" s="3"/>
      <c r="W23" s="3"/>
      <c r="X23" s="3"/>
      <c r="Y23" s="3"/>
      <c r="Z23" s="3"/>
      <c r="AA23" s="3"/>
      <c r="AB23" s="3"/>
      <c r="AC23" s="3"/>
      <c r="AD23" s="3"/>
      <c r="AE23" s="3"/>
    </row>
    <row r="24" spans="1:35" x14ac:dyDescent="0.3">
      <c r="A24" s="155" t="s">
        <v>66</v>
      </c>
      <c r="B24" s="37">
        <v>1</v>
      </c>
      <c r="C24" s="38">
        <v>44188</v>
      </c>
      <c r="D24" s="39">
        <v>4</v>
      </c>
      <c r="E24" s="37">
        <v>1</v>
      </c>
      <c r="F24" s="37">
        <v>1</v>
      </c>
      <c r="G24" s="40">
        <f t="shared" si="0"/>
        <v>7.65</v>
      </c>
      <c r="H24" s="40">
        <v>0.5</v>
      </c>
      <c r="I24" s="40">
        <v>0.15</v>
      </c>
      <c r="J24" s="40">
        <v>0.1</v>
      </c>
      <c r="K24" s="40">
        <v>0</v>
      </c>
      <c r="L24" s="40">
        <f>0.95/2</f>
        <v>0.47499999999999998</v>
      </c>
      <c r="M24" s="40">
        <f>0.95/2</f>
        <v>0.47499999999999998</v>
      </c>
      <c r="N24" s="40">
        <v>0</v>
      </c>
      <c r="O24" s="40">
        <v>0.3</v>
      </c>
      <c r="P24" s="40">
        <v>0</v>
      </c>
      <c r="Q24" s="40">
        <v>0</v>
      </c>
      <c r="R24" s="40">
        <v>0.2</v>
      </c>
      <c r="S24" s="40">
        <v>0</v>
      </c>
      <c r="T24" s="40">
        <v>0</v>
      </c>
      <c r="U24" s="40">
        <v>0.25</v>
      </c>
      <c r="V24" s="40">
        <v>0</v>
      </c>
      <c r="W24" s="40">
        <v>0.3</v>
      </c>
      <c r="X24" s="40">
        <v>0</v>
      </c>
      <c r="Y24" s="40">
        <v>4.9000000000000004</v>
      </c>
      <c r="Z24" s="40"/>
      <c r="AA24" s="40"/>
      <c r="AB24" s="40"/>
      <c r="AC24" s="40"/>
      <c r="AD24" s="40"/>
      <c r="AE24" s="40"/>
      <c r="AF24" s="3"/>
      <c r="AG24" s="3"/>
      <c r="AH24" s="4"/>
      <c r="AI24" s="4"/>
    </row>
    <row r="25" spans="1:35" x14ac:dyDescent="0.3">
      <c r="A25" s="155"/>
      <c r="B25" s="37">
        <v>1</v>
      </c>
      <c r="C25" s="38">
        <v>44188</v>
      </c>
      <c r="D25" s="39">
        <v>4</v>
      </c>
      <c r="E25" s="37">
        <v>2</v>
      </c>
      <c r="F25" s="37">
        <v>1</v>
      </c>
      <c r="G25" s="40">
        <f t="shared" si="0"/>
        <v>13.700000000000001</v>
      </c>
      <c r="H25" s="40">
        <v>1.4</v>
      </c>
      <c r="I25" s="40">
        <v>0.15</v>
      </c>
      <c r="J25" s="40">
        <v>0.3</v>
      </c>
      <c r="K25" s="40">
        <v>0</v>
      </c>
      <c r="L25" s="40">
        <f>1.35/2</f>
        <v>0.67500000000000004</v>
      </c>
      <c r="M25" s="40">
        <f>1.35/2</f>
        <v>0.67500000000000004</v>
      </c>
      <c r="N25" s="40">
        <v>0</v>
      </c>
      <c r="O25" s="40">
        <v>0.2</v>
      </c>
      <c r="P25" s="40">
        <v>0</v>
      </c>
      <c r="Q25" s="40">
        <v>0.5</v>
      </c>
      <c r="R25" s="40">
        <v>0.15</v>
      </c>
      <c r="S25" s="40">
        <v>0</v>
      </c>
      <c r="T25" s="40">
        <v>0.75</v>
      </c>
      <c r="U25" s="40">
        <v>0.4</v>
      </c>
      <c r="V25" s="40">
        <v>0</v>
      </c>
      <c r="W25" s="40">
        <v>0.6</v>
      </c>
      <c r="X25" s="40">
        <v>0</v>
      </c>
      <c r="Y25" s="40">
        <v>7.9</v>
      </c>
      <c r="Z25" s="40"/>
      <c r="AA25" s="40"/>
      <c r="AB25" s="40"/>
      <c r="AC25" s="40"/>
      <c r="AD25" s="40"/>
      <c r="AE25" s="40"/>
      <c r="AF25" s="1"/>
      <c r="AG25" s="1"/>
      <c r="AH25" s="4"/>
      <c r="AI25" s="4"/>
    </row>
    <row r="26" spans="1:35" x14ac:dyDescent="0.3">
      <c r="A26" s="155"/>
      <c r="B26" s="37">
        <v>2</v>
      </c>
      <c r="C26" s="38">
        <v>44188</v>
      </c>
      <c r="D26" s="39">
        <v>4</v>
      </c>
      <c r="E26" s="37">
        <v>1</v>
      </c>
      <c r="F26" s="37">
        <v>1</v>
      </c>
      <c r="G26" s="40">
        <f t="shared" si="0"/>
        <v>22</v>
      </c>
      <c r="H26" s="40">
        <v>0.55000000000000004</v>
      </c>
      <c r="I26" s="40">
        <v>1.6</v>
      </c>
      <c r="J26" s="40">
        <v>0.3</v>
      </c>
      <c r="K26" s="40">
        <v>0</v>
      </c>
      <c r="L26" s="40">
        <v>3.7</v>
      </c>
      <c r="M26" s="40">
        <v>0</v>
      </c>
      <c r="N26" s="40">
        <v>0</v>
      </c>
      <c r="O26" s="40">
        <v>0</v>
      </c>
      <c r="P26" s="40">
        <v>0</v>
      </c>
      <c r="Q26" s="40">
        <v>0.4</v>
      </c>
      <c r="R26" s="40">
        <v>0.2</v>
      </c>
      <c r="S26" s="40">
        <v>0</v>
      </c>
      <c r="T26" s="40">
        <v>0.3</v>
      </c>
      <c r="U26" s="40">
        <v>0.95</v>
      </c>
      <c r="V26" s="40">
        <v>0</v>
      </c>
      <c r="W26" s="40">
        <v>1.1000000000000001</v>
      </c>
      <c r="X26" s="40">
        <v>0</v>
      </c>
      <c r="Y26" s="40">
        <v>12.9</v>
      </c>
      <c r="Z26" s="40"/>
      <c r="AA26" s="40"/>
      <c r="AB26" s="40"/>
      <c r="AC26" s="40"/>
      <c r="AD26" s="40"/>
      <c r="AE26" s="40"/>
      <c r="AF26" s="5"/>
      <c r="AG26" s="1"/>
      <c r="AH26" s="4"/>
      <c r="AI26" s="4"/>
    </row>
    <row r="27" spans="1:35" x14ac:dyDescent="0.3">
      <c r="A27" s="155"/>
      <c r="B27" s="37">
        <v>2</v>
      </c>
      <c r="C27" s="38">
        <v>44188</v>
      </c>
      <c r="D27" s="39">
        <v>4</v>
      </c>
      <c r="E27" s="37">
        <v>2</v>
      </c>
      <c r="F27" s="37">
        <v>1</v>
      </c>
      <c r="G27" s="40">
        <f t="shared" si="0"/>
        <v>3.65</v>
      </c>
      <c r="H27" s="40">
        <v>1.6</v>
      </c>
      <c r="I27" s="40">
        <v>0.2</v>
      </c>
      <c r="J27" s="40">
        <v>0.1</v>
      </c>
      <c r="K27" s="40">
        <v>0</v>
      </c>
      <c r="L27" s="40">
        <v>0.2</v>
      </c>
      <c r="M27" s="40">
        <v>0</v>
      </c>
      <c r="N27" s="40">
        <v>0</v>
      </c>
      <c r="O27" s="40">
        <v>0.05</v>
      </c>
      <c r="P27" s="40">
        <v>0</v>
      </c>
      <c r="Q27" s="40">
        <v>0</v>
      </c>
      <c r="R27" s="40">
        <v>0</v>
      </c>
      <c r="S27" s="40">
        <v>0</v>
      </c>
      <c r="T27" s="40">
        <v>1.4</v>
      </c>
      <c r="U27" s="40">
        <v>0.1</v>
      </c>
      <c r="V27" s="40">
        <v>0</v>
      </c>
      <c r="W27" s="40">
        <v>0</v>
      </c>
      <c r="X27" s="40">
        <v>0</v>
      </c>
      <c r="Y27" s="40">
        <v>0</v>
      </c>
      <c r="Z27" s="40"/>
      <c r="AA27" s="40"/>
      <c r="AB27" s="40"/>
      <c r="AC27" s="40"/>
      <c r="AD27" s="40"/>
      <c r="AE27" s="40"/>
      <c r="AF27" s="1"/>
      <c r="AG27" s="1"/>
      <c r="AH27" s="4"/>
      <c r="AI27" s="4"/>
    </row>
    <row r="28" spans="1:35" x14ac:dyDescent="0.3">
      <c r="A28" s="155"/>
      <c r="B28" s="37">
        <v>3</v>
      </c>
      <c r="C28" s="38">
        <v>44188</v>
      </c>
      <c r="D28" s="39">
        <v>4</v>
      </c>
      <c r="E28" s="37">
        <v>1</v>
      </c>
      <c r="F28" s="37">
        <v>1</v>
      </c>
      <c r="G28" s="40">
        <f t="shared" si="0"/>
        <v>0</v>
      </c>
      <c r="H28" s="40">
        <v>0</v>
      </c>
      <c r="I28" s="40">
        <v>0</v>
      </c>
      <c r="J28" s="40">
        <v>0</v>
      </c>
      <c r="K28" s="40">
        <v>0</v>
      </c>
      <c r="L28" s="40">
        <v>0</v>
      </c>
      <c r="M28" s="40">
        <v>0</v>
      </c>
      <c r="N28" s="40">
        <v>0</v>
      </c>
      <c r="O28" s="40">
        <v>0</v>
      </c>
      <c r="P28" s="40">
        <v>0</v>
      </c>
      <c r="Q28" s="40">
        <v>0</v>
      </c>
      <c r="R28" s="40">
        <v>0</v>
      </c>
      <c r="S28" s="40">
        <v>0</v>
      </c>
      <c r="T28" s="40">
        <v>0</v>
      </c>
      <c r="U28" s="40">
        <v>0</v>
      </c>
      <c r="V28" s="40">
        <v>0</v>
      </c>
      <c r="W28" s="40">
        <v>0</v>
      </c>
      <c r="X28" s="40">
        <v>0</v>
      </c>
      <c r="Y28" s="40">
        <v>0</v>
      </c>
      <c r="Z28" s="40"/>
      <c r="AA28" s="40"/>
      <c r="AB28" s="40"/>
      <c r="AC28" s="40"/>
      <c r="AD28" s="40"/>
      <c r="AE28" s="40"/>
      <c r="AF28" s="5"/>
      <c r="AG28" s="1"/>
      <c r="AH28" s="4"/>
      <c r="AI28" s="4"/>
    </row>
    <row r="29" spans="1:35" x14ac:dyDescent="0.3">
      <c r="A29" s="155"/>
      <c r="B29" s="37">
        <v>3</v>
      </c>
      <c r="C29" s="38">
        <v>44188</v>
      </c>
      <c r="D29" s="39">
        <v>4</v>
      </c>
      <c r="E29" s="37">
        <v>2</v>
      </c>
      <c r="F29" s="37">
        <v>1</v>
      </c>
      <c r="G29" s="40">
        <f t="shared" si="0"/>
        <v>2.0499999999999998</v>
      </c>
      <c r="H29" s="40">
        <v>0.4</v>
      </c>
      <c r="I29" s="40">
        <v>0.5</v>
      </c>
      <c r="J29" s="40">
        <v>0.3</v>
      </c>
      <c r="K29" s="40">
        <v>0</v>
      </c>
      <c r="L29" s="40">
        <v>0.5</v>
      </c>
      <c r="M29" s="40">
        <v>0</v>
      </c>
      <c r="N29" s="40">
        <v>0</v>
      </c>
      <c r="O29" s="40">
        <v>0</v>
      </c>
      <c r="P29" s="40">
        <v>0</v>
      </c>
      <c r="Q29" s="40">
        <v>0</v>
      </c>
      <c r="R29" s="40">
        <v>0.15</v>
      </c>
      <c r="S29" s="40">
        <v>0</v>
      </c>
      <c r="T29" s="40">
        <v>0</v>
      </c>
      <c r="U29" s="40">
        <v>0.2</v>
      </c>
      <c r="V29" s="40">
        <v>0</v>
      </c>
      <c r="W29" s="40">
        <v>0</v>
      </c>
      <c r="X29" s="40">
        <v>0</v>
      </c>
      <c r="Y29" s="40">
        <v>0</v>
      </c>
      <c r="Z29" s="40"/>
      <c r="AA29" s="40"/>
      <c r="AB29" s="40"/>
      <c r="AC29" s="40"/>
      <c r="AD29" s="40"/>
      <c r="AE29" s="40"/>
      <c r="AF29" s="1"/>
      <c r="AG29" s="1"/>
      <c r="AH29" s="4"/>
      <c r="AI29" s="4"/>
    </row>
    <row r="30" spans="1:35" x14ac:dyDescent="0.3">
      <c r="A30" s="155"/>
      <c r="B30" s="37">
        <v>4</v>
      </c>
      <c r="C30" s="38">
        <v>44188</v>
      </c>
      <c r="D30" s="39">
        <v>4</v>
      </c>
      <c r="E30" s="37">
        <v>1</v>
      </c>
      <c r="F30" s="37">
        <v>1</v>
      </c>
      <c r="G30" s="40">
        <f t="shared" si="0"/>
        <v>10.5</v>
      </c>
      <c r="H30" s="40">
        <v>1.4</v>
      </c>
      <c r="I30" s="40">
        <v>0.5</v>
      </c>
      <c r="J30" s="40">
        <v>0.25</v>
      </c>
      <c r="K30" s="40">
        <v>0</v>
      </c>
      <c r="L30" s="40">
        <v>0.3</v>
      </c>
      <c r="M30" s="40">
        <v>0</v>
      </c>
      <c r="N30" s="40">
        <v>0</v>
      </c>
      <c r="O30" s="40">
        <v>0.15</v>
      </c>
      <c r="P30" s="40">
        <v>0</v>
      </c>
      <c r="Q30" s="40">
        <v>0.35</v>
      </c>
      <c r="R30" s="40">
        <v>0.15</v>
      </c>
      <c r="S30" s="40">
        <v>0</v>
      </c>
      <c r="T30" s="40">
        <v>0</v>
      </c>
      <c r="U30" s="40">
        <v>0.2</v>
      </c>
      <c r="V30" s="40">
        <v>0.6</v>
      </c>
      <c r="W30" s="40">
        <v>0</v>
      </c>
      <c r="X30" s="40">
        <v>0</v>
      </c>
      <c r="Y30" s="40">
        <v>6.6</v>
      </c>
      <c r="Z30" s="40"/>
      <c r="AA30" s="40"/>
      <c r="AB30" s="40"/>
      <c r="AC30" s="40"/>
      <c r="AD30" s="40"/>
      <c r="AE30" s="40"/>
      <c r="AF30" s="5"/>
      <c r="AG30" s="1"/>
      <c r="AH30" s="4"/>
      <c r="AI30" s="4"/>
    </row>
    <row r="31" spans="1:35" x14ac:dyDescent="0.3">
      <c r="A31" s="155"/>
      <c r="B31" s="37">
        <v>4</v>
      </c>
      <c r="C31" s="38">
        <v>44188</v>
      </c>
      <c r="D31" s="39">
        <v>4</v>
      </c>
      <c r="E31" s="37">
        <v>2</v>
      </c>
      <c r="F31" s="37">
        <v>1</v>
      </c>
      <c r="G31" s="40">
        <f t="shared" si="0"/>
        <v>2.15</v>
      </c>
      <c r="H31" s="40">
        <v>0.4</v>
      </c>
      <c r="I31" s="40">
        <v>0.2</v>
      </c>
      <c r="J31" s="40">
        <v>0</v>
      </c>
      <c r="K31" s="40">
        <v>0</v>
      </c>
      <c r="L31" s="40">
        <v>0.4</v>
      </c>
      <c r="M31" s="40">
        <v>0</v>
      </c>
      <c r="N31" s="40">
        <v>0</v>
      </c>
      <c r="O31" s="40">
        <v>0.2</v>
      </c>
      <c r="P31" s="40">
        <v>0</v>
      </c>
      <c r="Q31" s="40">
        <v>0.7</v>
      </c>
      <c r="R31" s="40">
        <v>0</v>
      </c>
      <c r="S31" s="40">
        <v>0</v>
      </c>
      <c r="T31" s="40">
        <v>0</v>
      </c>
      <c r="U31" s="40">
        <v>0.25</v>
      </c>
      <c r="V31" s="40">
        <v>0</v>
      </c>
      <c r="W31" s="40">
        <v>0</v>
      </c>
      <c r="X31" s="40">
        <v>0</v>
      </c>
      <c r="Y31" s="40">
        <v>0</v>
      </c>
      <c r="Z31" s="40"/>
      <c r="AA31" s="40"/>
      <c r="AB31" s="40"/>
      <c r="AC31" s="40"/>
      <c r="AD31" s="40"/>
      <c r="AE31" s="40"/>
      <c r="AF31" s="1"/>
      <c r="AG31" s="1"/>
      <c r="AH31" s="4"/>
      <c r="AI31" s="4"/>
    </row>
    <row r="32" spans="1:35" x14ac:dyDescent="0.3">
      <c r="A32" s="155"/>
      <c r="B32" s="37">
        <v>5</v>
      </c>
      <c r="C32" s="38">
        <v>44188</v>
      </c>
      <c r="D32" s="39">
        <v>4</v>
      </c>
      <c r="E32" s="37">
        <v>1</v>
      </c>
      <c r="F32" s="37">
        <v>1</v>
      </c>
      <c r="G32" s="40">
        <f t="shared" si="0"/>
        <v>79.05</v>
      </c>
      <c r="H32" s="41">
        <v>8.8000000000000007</v>
      </c>
      <c r="I32" s="41">
        <v>1.6</v>
      </c>
      <c r="J32" s="41">
        <v>0.75</v>
      </c>
      <c r="K32" s="41">
        <v>0</v>
      </c>
      <c r="L32" s="41">
        <f>2.85/2</f>
        <v>1.425</v>
      </c>
      <c r="M32" s="41">
        <f>2.85/2</f>
        <v>1.425</v>
      </c>
      <c r="N32" s="41">
        <v>0</v>
      </c>
      <c r="O32" s="41">
        <f>1.75/2</f>
        <v>0.875</v>
      </c>
      <c r="P32" s="41">
        <f>1.75/2</f>
        <v>0.875</v>
      </c>
      <c r="Q32" s="41">
        <v>5.05</v>
      </c>
      <c r="R32" s="41">
        <v>0.1</v>
      </c>
      <c r="S32" s="41">
        <v>0</v>
      </c>
      <c r="T32" s="41">
        <v>5</v>
      </c>
      <c r="U32" s="41">
        <v>1.1000000000000001</v>
      </c>
      <c r="V32" s="41">
        <v>0</v>
      </c>
      <c r="W32" s="41">
        <v>0.25</v>
      </c>
      <c r="X32" s="41">
        <v>0</v>
      </c>
      <c r="Y32" s="41">
        <v>51.8</v>
      </c>
      <c r="Z32" s="41"/>
      <c r="AA32" s="41"/>
      <c r="AB32" s="41"/>
      <c r="AC32" s="41"/>
      <c r="AD32" s="41"/>
      <c r="AE32" s="41"/>
      <c r="AF32" s="5"/>
      <c r="AG32" s="1"/>
      <c r="AH32" s="4"/>
      <c r="AI32" s="4"/>
    </row>
    <row r="33" spans="1:35" x14ac:dyDescent="0.3">
      <c r="A33" s="155"/>
      <c r="B33" s="37">
        <v>5</v>
      </c>
      <c r="C33" s="38">
        <v>44188</v>
      </c>
      <c r="D33" s="39">
        <v>4</v>
      </c>
      <c r="E33" s="37">
        <v>2</v>
      </c>
      <c r="F33" s="37">
        <v>1</v>
      </c>
      <c r="G33" s="40">
        <f t="shared" si="0"/>
        <v>71.95</v>
      </c>
      <c r="H33" s="41">
        <v>7.9</v>
      </c>
      <c r="I33" s="41">
        <v>2.9</v>
      </c>
      <c r="J33" s="41">
        <v>1.1000000000000001</v>
      </c>
      <c r="K33" s="41">
        <v>0</v>
      </c>
      <c r="L33" s="41">
        <f>5.05/2</f>
        <v>2.5249999999999999</v>
      </c>
      <c r="M33" s="41">
        <f>5.05/2</f>
        <v>2.5249999999999999</v>
      </c>
      <c r="N33" s="41">
        <v>0</v>
      </c>
      <c r="O33" s="41">
        <f>0.6/2</f>
        <v>0.3</v>
      </c>
      <c r="P33" s="41">
        <f>0.6/2</f>
        <v>0.3</v>
      </c>
      <c r="Q33" s="41">
        <v>4</v>
      </c>
      <c r="R33" s="41">
        <v>0.9</v>
      </c>
      <c r="S33" s="41">
        <v>0</v>
      </c>
      <c r="T33" s="41">
        <v>10.3</v>
      </c>
      <c r="U33" s="41">
        <v>0.7</v>
      </c>
      <c r="V33" s="41">
        <v>0</v>
      </c>
      <c r="W33" s="41">
        <v>0.2</v>
      </c>
      <c r="X33" s="41">
        <v>0</v>
      </c>
      <c r="Y33" s="41">
        <v>38.299999999999997</v>
      </c>
      <c r="Z33" s="41"/>
      <c r="AA33" s="41"/>
      <c r="AB33" s="41"/>
      <c r="AC33" s="41"/>
      <c r="AD33" s="41"/>
      <c r="AE33" s="41"/>
      <c r="AF33" s="1"/>
      <c r="AG33" s="1"/>
      <c r="AH33" s="4"/>
      <c r="AI33" s="4"/>
    </row>
    <row r="34" spans="1:35" x14ac:dyDescent="0.3">
      <c r="A34" s="8"/>
      <c r="D34" s="6"/>
      <c r="F34" t="s">
        <v>75</v>
      </c>
      <c r="G34" s="42">
        <f>SUM(G24:G33)</f>
        <v>212.7</v>
      </c>
      <c r="H34" s="42">
        <f t="shared" ref="H34:Y34" si="7">SUM(H24:H33)</f>
        <v>22.950000000000003</v>
      </c>
      <c r="I34" s="42">
        <f t="shared" si="7"/>
        <v>7.8000000000000007</v>
      </c>
      <c r="J34" s="42">
        <f t="shared" si="7"/>
        <v>3.1999999999999997</v>
      </c>
      <c r="K34" s="42">
        <f t="shared" si="7"/>
        <v>0</v>
      </c>
      <c r="L34" s="42">
        <f t="shared" si="7"/>
        <v>10.199999999999999</v>
      </c>
      <c r="M34" s="42">
        <f t="shared" si="7"/>
        <v>5.0999999999999996</v>
      </c>
      <c r="N34" s="42">
        <f t="shared" si="7"/>
        <v>0</v>
      </c>
      <c r="O34" s="42">
        <f t="shared" si="7"/>
        <v>2.0750000000000002</v>
      </c>
      <c r="P34" s="42">
        <f t="shared" si="7"/>
        <v>1.175</v>
      </c>
      <c r="Q34" s="42">
        <f t="shared" si="7"/>
        <v>11</v>
      </c>
      <c r="R34" s="42">
        <f t="shared" si="7"/>
        <v>1.85</v>
      </c>
      <c r="S34" s="42">
        <f t="shared" si="7"/>
        <v>0</v>
      </c>
      <c r="T34" s="42">
        <f t="shared" si="7"/>
        <v>17.75</v>
      </c>
      <c r="U34" s="42">
        <f t="shared" si="7"/>
        <v>4.1500000000000004</v>
      </c>
      <c r="V34" s="42">
        <f t="shared" si="7"/>
        <v>0.6</v>
      </c>
      <c r="W34" s="42">
        <f t="shared" si="7"/>
        <v>2.4500000000000002</v>
      </c>
      <c r="X34" s="42">
        <f t="shared" si="7"/>
        <v>0</v>
      </c>
      <c r="Y34" s="42">
        <f t="shared" si="7"/>
        <v>122.39999999999999</v>
      </c>
      <c r="Z34" s="42"/>
      <c r="AA34" s="42"/>
      <c r="AB34" s="42"/>
      <c r="AC34" s="42"/>
      <c r="AD34" s="42"/>
      <c r="AE34" s="42"/>
    </row>
    <row r="35" spans="1:35" x14ac:dyDescent="0.3">
      <c r="A35" s="8"/>
      <c r="D35" s="6"/>
      <c r="F35" t="s">
        <v>73</v>
      </c>
      <c r="G35" s="42">
        <f>SUMIF($E$24:$E$33,1,G24:G33)</f>
        <v>119.19999999999999</v>
      </c>
      <c r="H35" s="42">
        <f t="shared" ref="H35:Y35" si="8">SUMIF($E$24:$E$33,1,H24:H33)</f>
        <v>11.25</v>
      </c>
      <c r="I35" s="42">
        <f t="shared" si="8"/>
        <v>3.85</v>
      </c>
      <c r="J35" s="42">
        <f t="shared" si="8"/>
        <v>1.4</v>
      </c>
      <c r="K35" s="42">
        <f t="shared" si="8"/>
        <v>0</v>
      </c>
      <c r="L35" s="42">
        <f t="shared" si="8"/>
        <v>5.8999999999999995</v>
      </c>
      <c r="M35" s="42">
        <f t="shared" si="8"/>
        <v>1.9</v>
      </c>
      <c r="N35" s="42">
        <f t="shared" si="8"/>
        <v>0</v>
      </c>
      <c r="O35" s="42">
        <f t="shared" si="8"/>
        <v>1.325</v>
      </c>
      <c r="P35" s="42">
        <f t="shared" si="8"/>
        <v>0.875</v>
      </c>
      <c r="Q35" s="42">
        <f t="shared" si="8"/>
        <v>5.8</v>
      </c>
      <c r="R35" s="42">
        <f t="shared" si="8"/>
        <v>0.65</v>
      </c>
      <c r="S35" s="42">
        <f t="shared" si="8"/>
        <v>0</v>
      </c>
      <c r="T35" s="42">
        <f t="shared" si="8"/>
        <v>5.3</v>
      </c>
      <c r="U35" s="42">
        <f t="shared" si="8"/>
        <v>2.5</v>
      </c>
      <c r="V35" s="42">
        <f t="shared" si="8"/>
        <v>0.6</v>
      </c>
      <c r="W35" s="42">
        <f t="shared" si="8"/>
        <v>1.6500000000000001</v>
      </c>
      <c r="X35" s="42">
        <f t="shared" si="8"/>
        <v>0</v>
      </c>
      <c r="Y35" s="42">
        <f t="shared" si="8"/>
        <v>76.199999999999989</v>
      </c>
      <c r="Z35" s="42"/>
      <c r="AA35" s="42"/>
      <c r="AB35" s="42"/>
      <c r="AC35" s="42"/>
      <c r="AD35" s="42"/>
      <c r="AE35" s="42"/>
    </row>
    <row r="36" spans="1:35" x14ac:dyDescent="0.3">
      <c r="A36" s="8"/>
      <c r="D36" s="6"/>
      <c r="F36" t="s">
        <v>74</v>
      </c>
      <c r="G36" s="42">
        <f>SUMIF($E$24:$E$33,2,G24:G33)</f>
        <v>93.5</v>
      </c>
      <c r="H36" s="42">
        <f t="shared" ref="H36:Y36" si="9">SUMIF($E$24:$E$33,2,H24:H33)</f>
        <v>11.7</v>
      </c>
      <c r="I36" s="42">
        <f t="shared" si="9"/>
        <v>3.95</v>
      </c>
      <c r="J36" s="42">
        <f t="shared" si="9"/>
        <v>1.8</v>
      </c>
      <c r="K36" s="42">
        <f t="shared" si="9"/>
        <v>0</v>
      </c>
      <c r="L36" s="42">
        <f t="shared" si="9"/>
        <v>4.3</v>
      </c>
      <c r="M36" s="42">
        <f t="shared" si="9"/>
        <v>3.2</v>
      </c>
      <c r="N36" s="42">
        <f t="shared" si="9"/>
        <v>0</v>
      </c>
      <c r="O36" s="42">
        <f t="shared" si="9"/>
        <v>0.75</v>
      </c>
      <c r="P36" s="42">
        <f t="shared" si="9"/>
        <v>0.3</v>
      </c>
      <c r="Q36" s="42">
        <f t="shared" si="9"/>
        <v>5.2</v>
      </c>
      <c r="R36" s="42">
        <f t="shared" si="9"/>
        <v>1.2</v>
      </c>
      <c r="S36" s="42">
        <f t="shared" si="9"/>
        <v>0</v>
      </c>
      <c r="T36" s="42">
        <f t="shared" si="9"/>
        <v>12.450000000000001</v>
      </c>
      <c r="U36" s="42">
        <f t="shared" si="9"/>
        <v>1.65</v>
      </c>
      <c r="V36" s="42">
        <f t="shared" si="9"/>
        <v>0</v>
      </c>
      <c r="W36" s="42">
        <f t="shared" si="9"/>
        <v>0.8</v>
      </c>
      <c r="X36" s="42">
        <f t="shared" si="9"/>
        <v>0</v>
      </c>
      <c r="Y36" s="42">
        <f t="shared" si="9"/>
        <v>46.199999999999996</v>
      </c>
      <c r="Z36" s="42"/>
      <c r="AA36" s="42"/>
      <c r="AB36" s="42"/>
      <c r="AC36" s="42"/>
      <c r="AD36" s="42"/>
      <c r="AE36" s="42"/>
    </row>
    <row r="37" spans="1:35" x14ac:dyDescent="0.3">
      <c r="A37" s="8"/>
      <c r="D37" s="6"/>
      <c r="G37" s="3"/>
      <c r="H37" s="3"/>
      <c r="I37" s="3"/>
      <c r="J37" s="3"/>
      <c r="K37" s="3"/>
      <c r="L37" s="3"/>
      <c r="M37" s="3"/>
      <c r="N37" s="3"/>
      <c r="O37" s="3"/>
      <c r="P37" s="3"/>
      <c r="Q37" s="3"/>
      <c r="R37" s="3"/>
      <c r="S37" s="3"/>
      <c r="T37" s="3"/>
      <c r="U37" s="3"/>
      <c r="V37" s="3"/>
      <c r="W37" s="3"/>
      <c r="X37" s="3"/>
      <c r="Y37" s="3"/>
      <c r="Z37" s="3"/>
      <c r="AA37" s="3"/>
      <c r="AB37" s="3"/>
      <c r="AC37" s="3"/>
      <c r="AD37" s="3"/>
      <c r="AE37" s="3"/>
    </row>
    <row r="38" spans="1:35" x14ac:dyDescent="0.3">
      <c r="A38" s="155" t="s">
        <v>67</v>
      </c>
      <c r="B38" s="27">
        <v>2</v>
      </c>
      <c r="C38" s="28">
        <v>44189</v>
      </c>
      <c r="D38" s="29">
        <v>5</v>
      </c>
      <c r="E38" s="27">
        <v>2</v>
      </c>
      <c r="F38" s="27">
        <v>1</v>
      </c>
      <c r="G38" s="30">
        <f>SUM(H38:Y38)</f>
        <v>20.66</v>
      </c>
      <c r="H38" s="30">
        <v>0.3</v>
      </c>
      <c r="I38" s="30">
        <v>1</v>
      </c>
      <c r="J38" s="30">
        <v>0.7</v>
      </c>
      <c r="K38" s="30">
        <v>0</v>
      </c>
      <c r="L38" s="30">
        <v>0.25</v>
      </c>
      <c r="M38" s="30">
        <v>0.25</v>
      </c>
      <c r="N38" s="30">
        <v>0</v>
      </c>
      <c r="O38" s="30">
        <v>0.9</v>
      </c>
      <c r="P38" s="30">
        <v>0</v>
      </c>
      <c r="Q38" s="30">
        <v>0</v>
      </c>
      <c r="R38" s="30">
        <v>0</v>
      </c>
      <c r="S38" s="30">
        <v>0</v>
      </c>
      <c r="T38" s="30">
        <v>1.5999999999999999</v>
      </c>
      <c r="U38" s="30">
        <v>0.76</v>
      </c>
      <c r="V38" s="30">
        <v>0</v>
      </c>
      <c r="W38" s="30">
        <v>0</v>
      </c>
      <c r="X38" s="30">
        <v>0</v>
      </c>
      <c r="Y38" s="30">
        <v>14.9</v>
      </c>
      <c r="Z38" s="30"/>
      <c r="AA38" s="30"/>
      <c r="AB38" s="30"/>
      <c r="AC38" s="30"/>
      <c r="AD38" s="30"/>
      <c r="AE38" s="30"/>
      <c r="AF38" s="2"/>
      <c r="AG38" s="1"/>
      <c r="AH38" s="4"/>
      <c r="AI38" s="4"/>
    </row>
    <row r="39" spans="1:35" x14ac:dyDescent="0.3">
      <c r="A39" s="155"/>
      <c r="B39" s="27">
        <v>3</v>
      </c>
      <c r="C39" s="28">
        <v>44189</v>
      </c>
      <c r="D39" s="29">
        <v>5</v>
      </c>
      <c r="E39" s="27">
        <v>2</v>
      </c>
      <c r="F39" s="27">
        <v>1</v>
      </c>
      <c r="G39" s="30">
        <f>SUM(H39:Y39)</f>
        <v>7.7299999999999995</v>
      </c>
      <c r="H39" s="30">
        <v>1.02</v>
      </c>
      <c r="I39" s="30">
        <v>1.0899999999999999</v>
      </c>
      <c r="J39" s="30">
        <v>0.44</v>
      </c>
      <c r="K39" s="30">
        <v>0</v>
      </c>
      <c r="L39" s="30">
        <v>0.14000000000000001</v>
      </c>
      <c r="M39" s="30">
        <v>0.14000000000000001</v>
      </c>
      <c r="N39" s="30">
        <v>0</v>
      </c>
      <c r="O39" s="30">
        <v>0</v>
      </c>
      <c r="P39" s="30">
        <v>0</v>
      </c>
      <c r="Q39" s="30">
        <v>0</v>
      </c>
      <c r="R39" s="30">
        <v>0</v>
      </c>
      <c r="S39" s="30">
        <v>0</v>
      </c>
      <c r="T39" s="30">
        <v>1.7799999999999998</v>
      </c>
      <c r="U39" s="30">
        <v>2.46</v>
      </c>
      <c r="V39" s="30">
        <v>0.66</v>
      </c>
      <c r="W39" s="30">
        <v>0</v>
      </c>
      <c r="X39" s="30">
        <v>0</v>
      </c>
      <c r="Y39" s="31">
        <v>0</v>
      </c>
      <c r="Z39" s="31"/>
      <c r="AA39" s="31"/>
      <c r="AB39" s="31"/>
      <c r="AC39" s="31"/>
      <c r="AD39" s="31"/>
      <c r="AE39" s="31"/>
      <c r="AF39" s="2"/>
      <c r="AG39" s="1"/>
      <c r="AH39" s="4"/>
      <c r="AI39" s="4"/>
    </row>
    <row r="40" spans="1:35" x14ac:dyDescent="0.3">
      <c r="A40" s="155"/>
      <c r="B40" s="27">
        <v>5</v>
      </c>
      <c r="C40" s="28">
        <v>44189</v>
      </c>
      <c r="D40" s="29">
        <v>5</v>
      </c>
      <c r="E40" s="27">
        <v>1</v>
      </c>
      <c r="F40" s="27">
        <v>1</v>
      </c>
      <c r="G40" s="30">
        <f>SUM(H40:Y40)</f>
        <v>34.08</v>
      </c>
      <c r="H40" s="31">
        <v>1.5999999999999999</v>
      </c>
      <c r="I40" s="31">
        <v>0.05</v>
      </c>
      <c r="J40" s="31">
        <v>0.05</v>
      </c>
      <c r="K40" s="31">
        <v>0</v>
      </c>
      <c r="L40" s="31">
        <v>0</v>
      </c>
      <c r="M40" s="31">
        <v>0.8</v>
      </c>
      <c r="N40" s="31">
        <v>0</v>
      </c>
      <c r="O40" s="31">
        <v>0</v>
      </c>
      <c r="P40" s="31">
        <v>0</v>
      </c>
      <c r="Q40" s="31">
        <v>2.9</v>
      </c>
      <c r="R40" s="31">
        <v>0.45</v>
      </c>
      <c r="S40" s="31">
        <v>0.1</v>
      </c>
      <c r="T40" s="31">
        <v>6.93</v>
      </c>
      <c r="U40" s="31">
        <v>0.19999999999999998</v>
      </c>
      <c r="V40" s="31">
        <v>0</v>
      </c>
      <c r="W40" s="31">
        <v>0</v>
      </c>
      <c r="X40" s="31">
        <v>0</v>
      </c>
      <c r="Y40" s="31">
        <v>21</v>
      </c>
      <c r="Z40" s="31"/>
      <c r="AA40" s="31"/>
      <c r="AB40" s="31"/>
      <c r="AC40" s="31"/>
      <c r="AD40" s="31"/>
      <c r="AE40" s="31"/>
      <c r="AG40" s="1"/>
      <c r="AH40" s="4"/>
      <c r="AI40" s="4"/>
    </row>
    <row r="41" spans="1:35" x14ac:dyDescent="0.3">
      <c r="A41" s="155"/>
      <c r="B41" s="27">
        <v>5</v>
      </c>
      <c r="C41" s="28">
        <v>44189</v>
      </c>
      <c r="D41" s="29">
        <v>5</v>
      </c>
      <c r="E41" s="27">
        <v>2</v>
      </c>
      <c r="F41" s="27">
        <v>1</v>
      </c>
      <c r="G41" s="30">
        <f>SUM(H41:Y41)</f>
        <v>48.529999999999994</v>
      </c>
      <c r="H41" s="31">
        <v>6.1</v>
      </c>
      <c r="I41" s="31">
        <v>2.85</v>
      </c>
      <c r="J41" s="31">
        <v>0.2</v>
      </c>
      <c r="K41" s="31">
        <v>0</v>
      </c>
      <c r="L41" s="31">
        <v>0.1</v>
      </c>
      <c r="M41" s="31">
        <v>4.95</v>
      </c>
      <c r="N41" s="31">
        <v>0</v>
      </c>
      <c r="O41" s="31">
        <v>0</v>
      </c>
      <c r="P41" s="31">
        <v>0</v>
      </c>
      <c r="Q41" s="31">
        <v>15.75</v>
      </c>
      <c r="R41" s="31">
        <v>0.08</v>
      </c>
      <c r="S41" s="31">
        <v>0</v>
      </c>
      <c r="T41" s="31">
        <v>6.85</v>
      </c>
      <c r="U41" s="31">
        <v>0.90000000000000013</v>
      </c>
      <c r="V41" s="31">
        <v>0</v>
      </c>
      <c r="W41" s="31">
        <v>0</v>
      </c>
      <c r="X41" s="31">
        <v>0</v>
      </c>
      <c r="Y41" s="31">
        <v>10.75</v>
      </c>
      <c r="Z41" s="31"/>
      <c r="AA41" s="31"/>
      <c r="AB41" s="31"/>
      <c r="AC41" s="31"/>
      <c r="AD41" s="31"/>
      <c r="AE41" s="31"/>
      <c r="AF41" s="2"/>
      <c r="AG41" s="1"/>
      <c r="AH41" s="4"/>
      <c r="AI41" s="4"/>
    </row>
    <row r="42" spans="1:35" x14ac:dyDescent="0.3">
      <c r="A42" s="155"/>
      <c r="B42" s="27">
        <v>6</v>
      </c>
      <c r="C42" s="28">
        <v>44189</v>
      </c>
      <c r="D42" s="29">
        <v>5</v>
      </c>
      <c r="E42" s="27">
        <v>0</v>
      </c>
      <c r="F42" s="27">
        <v>1</v>
      </c>
      <c r="G42" s="30">
        <f>SUM(H42:Y42)</f>
        <v>111.50999999999999</v>
      </c>
      <c r="H42" s="30">
        <v>23</v>
      </c>
      <c r="I42" s="30">
        <v>0.65</v>
      </c>
      <c r="J42" s="30">
        <v>0.65</v>
      </c>
      <c r="K42" s="30">
        <v>0</v>
      </c>
      <c r="L42" s="30">
        <v>3.75</v>
      </c>
      <c r="M42" s="30">
        <v>9.4600000000000009</v>
      </c>
      <c r="N42" s="30">
        <v>0</v>
      </c>
      <c r="O42" s="30">
        <v>0.9</v>
      </c>
      <c r="P42" s="30">
        <v>0.1</v>
      </c>
      <c r="Q42" s="30">
        <v>7.95</v>
      </c>
      <c r="R42" s="30">
        <v>3.8</v>
      </c>
      <c r="S42" s="30">
        <v>0.3</v>
      </c>
      <c r="T42" s="30">
        <v>5.55</v>
      </c>
      <c r="U42" s="30">
        <v>2.7</v>
      </c>
      <c r="V42" s="30">
        <v>0</v>
      </c>
      <c r="W42" s="30">
        <v>1.3</v>
      </c>
      <c r="X42" s="30">
        <v>0</v>
      </c>
      <c r="Y42" s="30">
        <v>51.399999999999991</v>
      </c>
      <c r="Z42" s="30"/>
      <c r="AA42" s="30"/>
      <c r="AB42" s="30"/>
      <c r="AC42" s="30"/>
      <c r="AD42" s="30"/>
      <c r="AE42" s="30"/>
      <c r="AF42" t="s">
        <v>25</v>
      </c>
      <c r="AG42" s="1"/>
      <c r="AH42" s="4"/>
    </row>
    <row r="43" spans="1:35" x14ac:dyDescent="0.3">
      <c r="A43" s="8"/>
      <c r="D43" s="6"/>
      <c r="F43" t="s">
        <v>75</v>
      </c>
      <c r="G43" s="42">
        <f t="shared" ref="G43:R43" si="10">SUM(G38:G42)</f>
        <v>222.51</v>
      </c>
      <c r="H43" s="42">
        <f t="shared" si="10"/>
        <v>32.019999999999996</v>
      </c>
      <c r="I43" s="42">
        <f t="shared" si="10"/>
        <v>5.6400000000000006</v>
      </c>
      <c r="J43" s="42">
        <f t="shared" si="10"/>
        <v>2.04</v>
      </c>
      <c r="K43" s="42">
        <f t="shared" si="10"/>
        <v>0</v>
      </c>
      <c r="L43" s="42">
        <f t="shared" si="10"/>
        <v>4.24</v>
      </c>
      <c r="M43" s="42">
        <f t="shared" si="10"/>
        <v>15.600000000000001</v>
      </c>
      <c r="N43" s="42">
        <f t="shared" si="10"/>
        <v>0</v>
      </c>
      <c r="O43" s="42">
        <f t="shared" si="10"/>
        <v>1.8</v>
      </c>
      <c r="P43" s="42">
        <f t="shared" si="10"/>
        <v>0.1</v>
      </c>
      <c r="Q43" s="42">
        <f t="shared" si="10"/>
        <v>26.599999999999998</v>
      </c>
      <c r="R43" s="42">
        <f t="shared" si="10"/>
        <v>4.33</v>
      </c>
      <c r="S43" s="42">
        <f t="shared" ref="S43:Y43" si="11">SUM(S38:S42)</f>
        <v>0.4</v>
      </c>
      <c r="T43" s="42">
        <f t="shared" si="11"/>
        <v>22.709999999999997</v>
      </c>
      <c r="U43" s="42">
        <f t="shared" si="11"/>
        <v>7.0200000000000005</v>
      </c>
      <c r="V43" s="42">
        <f t="shared" si="11"/>
        <v>0.66</v>
      </c>
      <c r="W43" s="42">
        <f t="shared" si="11"/>
        <v>1.3</v>
      </c>
      <c r="X43" s="42">
        <f t="shared" si="11"/>
        <v>0</v>
      </c>
      <c r="Y43" s="42">
        <f t="shared" si="11"/>
        <v>98.049999999999983</v>
      </c>
      <c r="Z43" s="42"/>
      <c r="AA43" s="42"/>
      <c r="AB43" s="42"/>
      <c r="AC43" s="42"/>
      <c r="AD43" s="42"/>
      <c r="AE43" s="42"/>
    </row>
    <row r="44" spans="1:35" x14ac:dyDescent="0.3">
      <c r="A44" s="8"/>
      <c r="D44" s="6"/>
      <c r="F44" t="s">
        <v>73</v>
      </c>
      <c r="G44" s="42">
        <f>SUMIF($E$38:$E$42,1,G38:G42)</f>
        <v>34.08</v>
      </c>
      <c r="H44" s="42">
        <f t="shared" ref="H44:Y44" si="12">SUMIF($E$38:$E$42,1,H38:H42)</f>
        <v>1.5999999999999999</v>
      </c>
      <c r="I44" s="42">
        <f t="shared" si="12"/>
        <v>0.05</v>
      </c>
      <c r="J44" s="42">
        <f t="shared" si="12"/>
        <v>0.05</v>
      </c>
      <c r="K44" s="42">
        <f t="shared" si="12"/>
        <v>0</v>
      </c>
      <c r="L44" s="42">
        <f t="shared" si="12"/>
        <v>0</v>
      </c>
      <c r="M44" s="42">
        <f t="shared" si="12"/>
        <v>0.8</v>
      </c>
      <c r="N44" s="42">
        <f t="shared" si="12"/>
        <v>0</v>
      </c>
      <c r="O44" s="42">
        <f t="shared" si="12"/>
        <v>0</v>
      </c>
      <c r="P44" s="42">
        <f t="shared" si="12"/>
        <v>0</v>
      </c>
      <c r="Q44" s="42">
        <f t="shared" si="12"/>
        <v>2.9</v>
      </c>
      <c r="R44" s="42">
        <f t="shared" si="12"/>
        <v>0.45</v>
      </c>
      <c r="S44" s="42">
        <f t="shared" si="12"/>
        <v>0.1</v>
      </c>
      <c r="T44" s="42">
        <f t="shared" si="12"/>
        <v>6.93</v>
      </c>
      <c r="U44" s="42">
        <f t="shared" si="12"/>
        <v>0.19999999999999998</v>
      </c>
      <c r="V44" s="42">
        <f t="shared" si="12"/>
        <v>0</v>
      </c>
      <c r="W44" s="42">
        <f t="shared" si="12"/>
        <v>0</v>
      </c>
      <c r="X44" s="42">
        <f t="shared" si="12"/>
        <v>0</v>
      </c>
      <c r="Y44" s="42">
        <f t="shared" si="12"/>
        <v>21</v>
      </c>
      <c r="Z44" s="42"/>
      <c r="AA44" s="42"/>
      <c r="AB44" s="42"/>
      <c r="AC44" s="42"/>
      <c r="AD44" s="42"/>
      <c r="AE44" s="42"/>
    </row>
    <row r="45" spans="1:35" x14ac:dyDescent="0.3">
      <c r="A45" s="8"/>
      <c r="D45" s="6"/>
      <c r="F45" t="s">
        <v>74</v>
      </c>
      <c r="G45" s="42">
        <f>SUMIF($E$38:$E$42,2,G38:G42)+SUMIF($E$38:$E$42,0,G38:G42)</f>
        <v>188.42999999999998</v>
      </c>
      <c r="H45" s="42">
        <f t="shared" ref="H45:Y45" si="13">SUMIF($E$38:$E$42,2,H38:H42)+SUMIF($E$38:$E$42,0,H38:H42)</f>
        <v>30.42</v>
      </c>
      <c r="I45" s="42">
        <f t="shared" si="13"/>
        <v>5.59</v>
      </c>
      <c r="J45" s="42">
        <f t="shared" si="13"/>
        <v>1.9899999999999998</v>
      </c>
      <c r="K45" s="42">
        <f t="shared" si="13"/>
        <v>0</v>
      </c>
      <c r="L45" s="42">
        <f t="shared" si="13"/>
        <v>4.24</v>
      </c>
      <c r="M45" s="42">
        <f t="shared" si="13"/>
        <v>14.8</v>
      </c>
      <c r="N45" s="42">
        <f t="shared" si="13"/>
        <v>0</v>
      </c>
      <c r="O45" s="42">
        <f t="shared" si="13"/>
        <v>1.8</v>
      </c>
      <c r="P45" s="42">
        <f t="shared" si="13"/>
        <v>0.1</v>
      </c>
      <c r="Q45" s="42">
        <f t="shared" si="13"/>
        <v>23.7</v>
      </c>
      <c r="R45" s="42">
        <f t="shared" si="13"/>
        <v>3.88</v>
      </c>
      <c r="S45" s="42">
        <f t="shared" si="13"/>
        <v>0.3</v>
      </c>
      <c r="T45" s="42">
        <f t="shared" si="13"/>
        <v>15.780000000000001</v>
      </c>
      <c r="U45" s="42">
        <f t="shared" si="13"/>
        <v>6.82</v>
      </c>
      <c r="V45" s="42">
        <f t="shared" si="13"/>
        <v>0.66</v>
      </c>
      <c r="W45" s="42">
        <f t="shared" si="13"/>
        <v>1.3</v>
      </c>
      <c r="X45" s="42">
        <f t="shared" si="13"/>
        <v>0</v>
      </c>
      <c r="Y45" s="42">
        <f t="shared" si="13"/>
        <v>77.049999999999983</v>
      </c>
      <c r="Z45" s="42"/>
      <c r="AA45" s="42"/>
      <c r="AB45" s="42"/>
      <c r="AC45" s="42"/>
      <c r="AD45" s="42"/>
      <c r="AE45" s="42"/>
    </row>
    <row r="46" spans="1:35" x14ac:dyDescent="0.3">
      <c r="A46" s="8"/>
      <c r="D46" s="6"/>
      <c r="G46" s="3"/>
      <c r="H46" s="3"/>
      <c r="I46" s="3"/>
      <c r="J46" s="3"/>
      <c r="K46" s="3"/>
      <c r="L46" s="3"/>
      <c r="M46" s="3"/>
      <c r="N46" s="3"/>
      <c r="O46" s="3"/>
      <c r="P46" s="3"/>
      <c r="Q46" s="3"/>
      <c r="R46" s="3"/>
      <c r="S46" s="3"/>
      <c r="T46" s="3"/>
      <c r="U46" s="3"/>
      <c r="V46" s="3"/>
      <c r="W46" s="3"/>
      <c r="X46" s="3"/>
      <c r="Y46" s="3"/>
      <c r="Z46" s="3"/>
      <c r="AA46" s="3"/>
      <c r="AB46" s="3"/>
      <c r="AC46" s="3"/>
      <c r="AD46" s="3"/>
      <c r="AE46" s="3"/>
    </row>
    <row r="47" spans="1:35" x14ac:dyDescent="0.3">
      <c r="A47" s="155" t="s">
        <v>65</v>
      </c>
      <c r="B47" s="32">
        <v>1</v>
      </c>
      <c r="C47" s="33">
        <v>44191</v>
      </c>
      <c r="D47" s="34">
        <v>7</v>
      </c>
      <c r="E47" s="32">
        <v>2</v>
      </c>
      <c r="F47" s="32">
        <v>1</v>
      </c>
      <c r="G47" s="35">
        <f t="shared" si="0"/>
        <v>3.2800000000000002</v>
      </c>
      <c r="H47" s="35">
        <v>1</v>
      </c>
      <c r="I47" s="35">
        <v>0.49</v>
      </c>
      <c r="J47" s="35">
        <v>0.49</v>
      </c>
      <c r="K47" s="35">
        <v>0</v>
      </c>
      <c r="L47" s="35">
        <v>0</v>
      </c>
      <c r="M47" s="35">
        <v>0</v>
      </c>
      <c r="N47" s="35">
        <v>0</v>
      </c>
      <c r="O47" s="35">
        <v>0</v>
      </c>
      <c r="P47" s="35">
        <v>0</v>
      </c>
      <c r="Q47" s="35">
        <v>0</v>
      </c>
      <c r="R47" s="35">
        <v>0</v>
      </c>
      <c r="S47" s="35">
        <v>0</v>
      </c>
      <c r="T47" s="35">
        <v>1.3</v>
      </c>
      <c r="U47" s="35">
        <v>0</v>
      </c>
      <c r="V47" s="35">
        <v>0</v>
      </c>
      <c r="W47" s="35">
        <v>0</v>
      </c>
      <c r="X47" s="35">
        <v>0</v>
      </c>
      <c r="Y47" s="35">
        <v>0</v>
      </c>
      <c r="Z47" s="35"/>
      <c r="AA47" s="35"/>
      <c r="AB47" s="35"/>
      <c r="AC47" s="35"/>
      <c r="AD47" s="35"/>
      <c r="AE47" s="35"/>
      <c r="AF47" s="3"/>
      <c r="AI47" s="4"/>
    </row>
    <row r="48" spans="1:35" x14ac:dyDescent="0.3">
      <c r="A48" s="155"/>
      <c r="B48" s="32">
        <v>2</v>
      </c>
      <c r="C48" s="33">
        <v>44191</v>
      </c>
      <c r="D48" s="34">
        <v>7</v>
      </c>
      <c r="E48" s="32">
        <v>1</v>
      </c>
      <c r="F48" s="32">
        <v>1</v>
      </c>
      <c r="G48" s="35">
        <f t="shared" si="0"/>
        <v>21.46</v>
      </c>
      <c r="H48" s="35">
        <v>0</v>
      </c>
      <c r="I48" s="35">
        <v>3.1999999999999997</v>
      </c>
      <c r="J48" s="35">
        <v>1.52</v>
      </c>
      <c r="K48" s="35">
        <v>0</v>
      </c>
      <c r="L48" s="35">
        <v>0</v>
      </c>
      <c r="M48" s="35">
        <v>0</v>
      </c>
      <c r="N48" s="35">
        <v>0</v>
      </c>
      <c r="O48" s="35">
        <v>0</v>
      </c>
      <c r="P48" s="35">
        <v>0</v>
      </c>
      <c r="Q48" s="35">
        <v>0.98</v>
      </c>
      <c r="R48" s="35">
        <v>0</v>
      </c>
      <c r="S48" s="35">
        <v>0</v>
      </c>
      <c r="T48" s="35">
        <v>1.1399999999999999</v>
      </c>
      <c r="U48" s="35">
        <v>1.5999999999999999</v>
      </c>
      <c r="V48" s="35">
        <v>0</v>
      </c>
      <c r="W48" s="35">
        <v>0.12</v>
      </c>
      <c r="X48" s="35">
        <v>0</v>
      </c>
      <c r="Y48" s="35">
        <v>12.9</v>
      </c>
      <c r="Z48" s="35"/>
      <c r="AA48" s="35"/>
      <c r="AB48" s="35"/>
      <c r="AC48" s="35"/>
      <c r="AD48" s="35"/>
      <c r="AE48" s="35"/>
      <c r="AF48" s="1"/>
      <c r="AG48" s="1"/>
      <c r="AH48" s="4"/>
      <c r="AI48" s="4"/>
    </row>
    <row r="49" spans="1:35" x14ac:dyDescent="0.3">
      <c r="A49" s="155"/>
      <c r="B49" s="32">
        <v>2</v>
      </c>
      <c r="C49" s="33">
        <v>44191</v>
      </c>
      <c r="D49" s="34">
        <v>7</v>
      </c>
      <c r="E49" s="32">
        <v>2</v>
      </c>
      <c r="F49" s="32">
        <v>1</v>
      </c>
      <c r="G49" s="35">
        <f t="shared" si="0"/>
        <v>28.93</v>
      </c>
      <c r="H49" s="35">
        <v>0</v>
      </c>
      <c r="I49" s="35">
        <v>2.5</v>
      </c>
      <c r="J49" s="35">
        <v>0.64</v>
      </c>
      <c r="K49" s="35">
        <v>0</v>
      </c>
      <c r="L49" s="35">
        <v>0.3</v>
      </c>
      <c r="M49" s="35">
        <v>0</v>
      </c>
      <c r="N49" s="35">
        <v>0</v>
      </c>
      <c r="O49" s="35">
        <v>0</v>
      </c>
      <c r="P49" s="35">
        <v>0</v>
      </c>
      <c r="Q49" s="35">
        <v>0</v>
      </c>
      <c r="R49" s="35">
        <v>0.49</v>
      </c>
      <c r="S49" s="35">
        <v>0</v>
      </c>
      <c r="T49" s="35">
        <v>1</v>
      </c>
      <c r="U49" s="35">
        <v>3</v>
      </c>
      <c r="V49" s="35">
        <v>0</v>
      </c>
      <c r="W49" s="35">
        <v>0</v>
      </c>
      <c r="X49" s="35">
        <v>0</v>
      </c>
      <c r="Y49" s="35">
        <v>21</v>
      </c>
      <c r="Z49" s="35"/>
      <c r="AA49" s="35"/>
      <c r="AB49" s="35"/>
      <c r="AC49" s="35"/>
      <c r="AD49" s="35"/>
      <c r="AE49" s="35"/>
      <c r="AF49" s="7"/>
      <c r="AI49" s="4"/>
    </row>
    <row r="50" spans="1:35" x14ac:dyDescent="0.3">
      <c r="A50" s="155"/>
      <c r="B50" s="32">
        <v>3</v>
      </c>
      <c r="C50" s="33">
        <v>44191</v>
      </c>
      <c r="D50" s="34">
        <v>7</v>
      </c>
      <c r="E50" s="32">
        <v>1</v>
      </c>
      <c r="F50" s="32">
        <v>1</v>
      </c>
      <c r="G50" s="35">
        <f t="shared" si="0"/>
        <v>11.79</v>
      </c>
      <c r="H50" s="35">
        <v>0.8</v>
      </c>
      <c r="I50" s="35">
        <v>0.17499999999999999</v>
      </c>
      <c r="J50" s="35">
        <v>0.17499999999999999</v>
      </c>
      <c r="K50" s="35">
        <v>0</v>
      </c>
      <c r="L50" s="35">
        <v>0.05</v>
      </c>
      <c r="M50" s="35">
        <v>0</v>
      </c>
      <c r="N50" s="35">
        <v>0</v>
      </c>
      <c r="O50" s="35">
        <v>0</v>
      </c>
      <c r="P50" s="35">
        <v>0</v>
      </c>
      <c r="Q50" s="35">
        <v>0</v>
      </c>
      <c r="R50" s="35">
        <v>0.15</v>
      </c>
      <c r="S50" s="35">
        <v>0</v>
      </c>
      <c r="T50" s="35">
        <v>2.74</v>
      </c>
      <c r="U50" s="35">
        <v>0.1</v>
      </c>
      <c r="V50" s="35">
        <v>0</v>
      </c>
      <c r="W50" s="35">
        <v>0</v>
      </c>
      <c r="X50" s="35">
        <v>0</v>
      </c>
      <c r="Y50" s="35">
        <v>7.6000000000000005</v>
      </c>
      <c r="Z50" s="35"/>
      <c r="AA50" s="35"/>
      <c r="AB50" s="35"/>
      <c r="AC50" s="35"/>
      <c r="AD50" s="35"/>
      <c r="AE50" s="35"/>
      <c r="AF50" s="1"/>
      <c r="AG50" s="1"/>
      <c r="AH50" s="4"/>
      <c r="AI50" s="4"/>
    </row>
    <row r="51" spans="1:35" x14ac:dyDescent="0.3">
      <c r="A51" s="155"/>
      <c r="B51" s="32">
        <v>3</v>
      </c>
      <c r="C51" s="33">
        <v>44191</v>
      </c>
      <c r="D51" s="34">
        <v>7</v>
      </c>
      <c r="E51" s="32">
        <v>2</v>
      </c>
      <c r="F51" s="32">
        <v>1</v>
      </c>
      <c r="G51" s="35">
        <f t="shared" si="0"/>
        <v>0</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35">
        <v>0</v>
      </c>
      <c r="Y51" s="35">
        <v>0</v>
      </c>
      <c r="Z51" s="35"/>
      <c r="AA51" s="35"/>
      <c r="AB51" s="35"/>
      <c r="AC51" s="35"/>
      <c r="AD51" s="35"/>
      <c r="AE51" s="35"/>
      <c r="AF51" s="7"/>
      <c r="AI51" s="4"/>
    </row>
    <row r="52" spans="1:35" x14ac:dyDescent="0.3">
      <c r="A52" s="155"/>
      <c r="B52" s="32">
        <v>4</v>
      </c>
      <c r="C52" s="33">
        <v>44191</v>
      </c>
      <c r="D52" s="34">
        <v>7</v>
      </c>
      <c r="E52" s="32">
        <v>1</v>
      </c>
      <c r="F52" s="32">
        <v>1</v>
      </c>
      <c r="G52" s="35">
        <f t="shared" si="0"/>
        <v>3.5</v>
      </c>
      <c r="H52" s="35">
        <v>0</v>
      </c>
      <c r="I52" s="35">
        <v>1</v>
      </c>
      <c r="J52" s="35">
        <v>0</v>
      </c>
      <c r="K52" s="35">
        <v>0</v>
      </c>
      <c r="L52" s="35">
        <v>0.2</v>
      </c>
      <c r="M52" s="35">
        <v>0</v>
      </c>
      <c r="N52" s="35">
        <v>0</v>
      </c>
      <c r="O52" s="35">
        <v>0</v>
      </c>
      <c r="P52" s="35">
        <v>0</v>
      </c>
      <c r="Q52" s="35">
        <v>0</v>
      </c>
      <c r="R52" s="35">
        <v>0</v>
      </c>
      <c r="S52" s="35">
        <v>0</v>
      </c>
      <c r="T52" s="35">
        <v>1.1000000000000001</v>
      </c>
      <c r="U52" s="35">
        <v>0</v>
      </c>
      <c r="V52" s="35">
        <v>0</v>
      </c>
      <c r="W52" s="35">
        <v>0</v>
      </c>
      <c r="X52" s="35">
        <v>0</v>
      </c>
      <c r="Y52" s="35">
        <v>1.2000000000000002</v>
      </c>
      <c r="Z52" s="35"/>
      <c r="AA52" s="35"/>
      <c r="AB52" s="35"/>
      <c r="AC52" s="35"/>
      <c r="AD52" s="35"/>
      <c r="AE52" s="35"/>
      <c r="AF52" s="1"/>
      <c r="AG52" s="1"/>
      <c r="AH52" s="4"/>
      <c r="AI52" s="4"/>
    </row>
    <row r="53" spans="1:35" x14ac:dyDescent="0.3">
      <c r="A53" s="155"/>
      <c r="B53" s="32">
        <v>4</v>
      </c>
      <c r="C53" s="33">
        <v>44191</v>
      </c>
      <c r="D53" s="34">
        <v>7</v>
      </c>
      <c r="E53" s="32">
        <v>2</v>
      </c>
      <c r="F53" s="32">
        <v>1</v>
      </c>
      <c r="G53" s="35">
        <f t="shared" si="0"/>
        <v>3.4899999999999998</v>
      </c>
      <c r="H53" s="35">
        <f>0.31+0.4</f>
        <v>0.71</v>
      </c>
      <c r="I53" s="35">
        <v>0.2</v>
      </c>
      <c r="J53" s="35">
        <v>0</v>
      </c>
      <c r="K53" s="35">
        <v>0</v>
      </c>
      <c r="L53" s="35">
        <v>0.05</v>
      </c>
      <c r="M53" s="35">
        <v>0.4</v>
      </c>
      <c r="N53" s="35">
        <v>0</v>
      </c>
      <c r="O53" s="35">
        <v>0.2</v>
      </c>
      <c r="P53" s="35">
        <v>0</v>
      </c>
      <c r="Q53" s="35">
        <f>0.96+0.7</f>
        <v>1.66</v>
      </c>
      <c r="R53" s="35">
        <v>0.02</v>
      </c>
      <c r="S53" s="35">
        <v>0</v>
      </c>
      <c r="T53" s="35">
        <v>0</v>
      </c>
      <c r="U53" s="35">
        <v>0.25</v>
      </c>
      <c r="V53" s="35">
        <v>0</v>
      </c>
      <c r="W53" s="35">
        <v>0</v>
      </c>
      <c r="X53" s="35">
        <v>0</v>
      </c>
      <c r="Y53" s="35">
        <v>0</v>
      </c>
      <c r="Z53" s="35"/>
      <c r="AA53" s="35"/>
      <c r="AB53" s="35"/>
      <c r="AC53" s="35"/>
      <c r="AD53" s="35"/>
      <c r="AE53" s="35"/>
      <c r="AF53" s="7"/>
      <c r="AI53" s="4"/>
    </row>
    <row r="54" spans="1:35" x14ac:dyDescent="0.3">
      <c r="A54" s="155"/>
      <c r="B54" s="32">
        <v>5</v>
      </c>
      <c r="C54" s="33">
        <v>44191</v>
      </c>
      <c r="D54" s="34">
        <v>7</v>
      </c>
      <c r="E54" s="32">
        <v>1</v>
      </c>
      <c r="F54" s="32">
        <v>1</v>
      </c>
      <c r="G54" s="35">
        <f t="shared" si="0"/>
        <v>94.1</v>
      </c>
      <c r="H54" s="36">
        <v>10.7</v>
      </c>
      <c r="I54" s="36">
        <v>2.6</v>
      </c>
      <c r="J54" s="36">
        <v>1</v>
      </c>
      <c r="K54" s="36">
        <v>0</v>
      </c>
      <c r="L54" s="36">
        <v>0</v>
      </c>
      <c r="M54" s="36">
        <f>0.7+2</f>
        <v>2.7</v>
      </c>
      <c r="N54" s="36">
        <v>0</v>
      </c>
      <c r="O54" s="36">
        <v>0</v>
      </c>
      <c r="P54" s="36">
        <v>1.2</v>
      </c>
      <c r="Q54" s="36">
        <v>1.9</v>
      </c>
      <c r="R54" s="36">
        <v>0.8</v>
      </c>
      <c r="S54" s="36">
        <v>0</v>
      </c>
      <c r="T54" s="36">
        <f>3.4+1.6+3.2+0.9</f>
        <v>9.1</v>
      </c>
      <c r="U54" s="36">
        <v>2.5</v>
      </c>
      <c r="V54" s="36">
        <v>0</v>
      </c>
      <c r="W54" s="36">
        <v>0</v>
      </c>
      <c r="X54" s="36">
        <v>0</v>
      </c>
      <c r="Y54" s="36">
        <f>60.4+1.2</f>
        <v>61.6</v>
      </c>
      <c r="Z54" s="36"/>
      <c r="AA54" s="36"/>
      <c r="AB54" s="36"/>
      <c r="AC54" s="36"/>
      <c r="AD54" s="36"/>
      <c r="AE54" s="36"/>
      <c r="AF54" s="1"/>
      <c r="AG54" s="1"/>
      <c r="AH54" s="4"/>
      <c r="AI54" s="4"/>
    </row>
    <row r="55" spans="1:35" x14ac:dyDescent="0.3">
      <c r="A55" s="155"/>
      <c r="B55" s="32">
        <v>5</v>
      </c>
      <c r="C55" s="33">
        <v>44191</v>
      </c>
      <c r="D55" s="34">
        <v>7</v>
      </c>
      <c r="E55" s="32">
        <v>2</v>
      </c>
      <c r="F55" s="32">
        <v>1</v>
      </c>
      <c r="G55" s="35">
        <f t="shared" si="0"/>
        <v>110.22999999999999</v>
      </c>
      <c r="H55" s="36">
        <f>10.2-0.8</f>
        <v>9.3999999999999986</v>
      </c>
      <c r="I55" s="36">
        <f>(3.58+2.7+1.2)-(0.5+0.5+0.4)</f>
        <v>6.08</v>
      </c>
      <c r="J55" s="36">
        <f>1.6+1.1-0.5-0.4</f>
        <v>1.8000000000000003</v>
      </c>
      <c r="K55" s="36">
        <v>0</v>
      </c>
      <c r="L55" s="36">
        <f>0.6+1.5-0.3-0.4</f>
        <v>1.4</v>
      </c>
      <c r="M55" s="36">
        <f>0.5+1.1</f>
        <v>1.6</v>
      </c>
      <c r="N55" s="36">
        <v>0</v>
      </c>
      <c r="O55" s="36">
        <v>0</v>
      </c>
      <c r="P55" s="36">
        <f>1.3-0.5</f>
        <v>0.8</v>
      </c>
      <c r="Q55" s="36">
        <f>2.5</f>
        <v>2.5</v>
      </c>
      <c r="R55" s="36">
        <f>0.1+0.6-0.4</f>
        <v>0.29999999999999993</v>
      </c>
      <c r="S55" s="36">
        <f>11.4-0.76</f>
        <v>10.64</v>
      </c>
      <c r="T55" s="36">
        <f>3.2+2.78+2.5+7.6+1.8-0.52-0.5-5.4+0.5</f>
        <v>11.959999999999999</v>
      </c>
      <c r="U55" s="36">
        <f>1.6+2.92+1.7-0.5-1.9-0.5</f>
        <v>3.32</v>
      </c>
      <c r="V55" s="36">
        <v>0</v>
      </c>
      <c r="W55" s="36">
        <f>2.95+2.28</f>
        <v>5.23</v>
      </c>
      <c r="X55" s="36">
        <v>0</v>
      </c>
      <c r="Y55" s="36">
        <f>38+27.6-5.2-5.2</f>
        <v>55.199999999999989</v>
      </c>
      <c r="Z55" s="36"/>
      <c r="AA55" s="36"/>
      <c r="AB55" s="36"/>
      <c r="AC55" s="36"/>
      <c r="AD55" s="36"/>
      <c r="AE55" s="36"/>
      <c r="AF55" s="7"/>
      <c r="AI55" s="4"/>
    </row>
    <row r="56" spans="1:35" x14ac:dyDescent="0.3">
      <c r="A56" s="155"/>
      <c r="B56" s="32">
        <v>6</v>
      </c>
      <c r="C56" s="33">
        <v>44191</v>
      </c>
      <c r="D56" s="34">
        <v>7</v>
      </c>
      <c r="E56" s="32">
        <v>0</v>
      </c>
      <c r="F56" s="32">
        <v>1</v>
      </c>
      <c r="G56" s="35">
        <f t="shared" si="0"/>
        <v>210.42000000000002</v>
      </c>
      <c r="H56" s="35">
        <v>15.5</v>
      </c>
      <c r="I56" s="35">
        <v>0.77500000000000002</v>
      </c>
      <c r="J56" s="35">
        <v>0.77500000000000002</v>
      </c>
      <c r="K56" s="35">
        <v>0</v>
      </c>
      <c r="L56" s="35">
        <v>2.37</v>
      </c>
      <c r="M56" s="35">
        <v>14.31</v>
      </c>
      <c r="N56" s="35">
        <v>0</v>
      </c>
      <c r="O56" s="35">
        <v>0.5</v>
      </c>
      <c r="P56" s="35">
        <v>0</v>
      </c>
      <c r="Q56" s="35">
        <v>0</v>
      </c>
      <c r="R56" s="35">
        <v>3.46</v>
      </c>
      <c r="S56" s="35">
        <v>54.9</v>
      </c>
      <c r="T56" s="35">
        <v>4.3</v>
      </c>
      <c r="U56" s="35">
        <v>3.5399999999999991</v>
      </c>
      <c r="V56" s="35">
        <v>0</v>
      </c>
      <c r="W56" s="35">
        <v>0.94</v>
      </c>
      <c r="X56" s="35">
        <v>0</v>
      </c>
      <c r="Y56" s="35">
        <v>109.05</v>
      </c>
      <c r="Z56" s="35"/>
      <c r="AA56" s="35"/>
      <c r="AB56" s="35"/>
      <c r="AC56" s="35"/>
      <c r="AD56" s="35"/>
      <c r="AE56" s="35"/>
      <c r="AF56" t="s">
        <v>26</v>
      </c>
      <c r="AH56" s="4"/>
    </row>
    <row r="57" spans="1:35" x14ac:dyDescent="0.3">
      <c r="A57" s="8"/>
      <c r="D57" s="6"/>
      <c r="F57" t="s">
        <v>75</v>
      </c>
      <c r="G57" s="42">
        <f>SUM(G47:G56)</f>
        <v>487.2</v>
      </c>
      <c r="H57" s="42">
        <f t="shared" ref="H57:Y57" si="14">SUM(H47:H56)</f>
        <v>38.11</v>
      </c>
      <c r="I57" s="42">
        <f t="shared" si="14"/>
        <v>17.019999999999996</v>
      </c>
      <c r="J57" s="42">
        <f t="shared" si="14"/>
        <v>6.4</v>
      </c>
      <c r="K57" s="42">
        <f t="shared" si="14"/>
        <v>0</v>
      </c>
      <c r="L57" s="42">
        <f t="shared" si="14"/>
        <v>4.37</v>
      </c>
      <c r="M57" s="42">
        <f t="shared" si="14"/>
        <v>19.010000000000002</v>
      </c>
      <c r="N57" s="42">
        <f t="shared" si="14"/>
        <v>0</v>
      </c>
      <c r="O57" s="42">
        <f t="shared" si="14"/>
        <v>0.7</v>
      </c>
      <c r="P57" s="42">
        <f t="shared" si="14"/>
        <v>2</v>
      </c>
      <c r="Q57" s="42">
        <f t="shared" si="14"/>
        <v>7.0399999999999991</v>
      </c>
      <c r="R57" s="42">
        <f t="shared" si="14"/>
        <v>5.22</v>
      </c>
      <c r="S57" s="42">
        <f t="shared" si="14"/>
        <v>65.539999999999992</v>
      </c>
      <c r="T57" s="42">
        <f t="shared" si="14"/>
        <v>32.639999999999993</v>
      </c>
      <c r="U57" s="42">
        <f t="shared" si="14"/>
        <v>14.309999999999999</v>
      </c>
      <c r="V57" s="42">
        <f t="shared" si="14"/>
        <v>0</v>
      </c>
      <c r="W57" s="42">
        <f t="shared" si="14"/>
        <v>6.2900000000000009</v>
      </c>
      <c r="X57" s="42">
        <f t="shared" si="14"/>
        <v>0</v>
      </c>
      <c r="Y57" s="42">
        <f t="shared" si="14"/>
        <v>268.55</v>
      </c>
      <c r="Z57" s="42"/>
      <c r="AA57" s="42"/>
      <c r="AB57" s="42"/>
      <c r="AC57" s="42"/>
      <c r="AD57" s="42"/>
      <c r="AE57" s="42"/>
    </row>
    <row r="58" spans="1:35" x14ac:dyDescent="0.3">
      <c r="A58" s="8"/>
      <c r="D58" s="6"/>
      <c r="F58" t="s">
        <v>73</v>
      </c>
      <c r="G58" s="42">
        <f>SUMIF($E$47:$E$56,1,G47:G56)</f>
        <v>130.85</v>
      </c>
      <c r="H58" s="42">
        <f t="shared" ref="H58:Y58" si="15">SUMIF($E$47:$E$56,1,H47:H56)</f>
        <v>11.5</v>
      </c>
      <c r="I58" s="42">
        <f t="shared" si="15"/>
        <v>6.9749999999999996</v>
      </c>
      <c r="J58" s="42">
        <f t="shared" si="15"/>
        <v>2.6950000000000003</v>
      </c>
      <c r="K58" s="42">
        <f t="shared" si="15"/>
        <v>0</v>
      </c>
      <c r="L58" s="42">
        <f t="shared" si="15"/>
        <v>0.25</v>
      </c>
      <c r="M58" s="42">
        <f t="shared" si="15"/>
        <v>2.7</v>
      </c>
      <c r="N58" s="42">
        <f t="shared" si="15"/>
        <v>0</v>
      </c>
      <c r="O58" s="42">
        <f t="shared" si="15"/>
        <v>0</v>
      </c>
      <c r="P58" s="42">
        <f t="shared" si="15"/>
        <v>1.2</v>
      </c>
      <c r="Q58" s="42">
        <f t="shared" si="15"/>
        <v>2.88</v>
      </c>
      <c r="R58" s="42">
        <f t="shared" si="15"/>
        <v>0.95000000000000007</v>
      </c>
      <c r="S58" s="42">
        <f t="shared" si="15"/>
        <v>0</v>
      </c>
      <c r="T58" s="42">
        <f t="shared" si="15"/>
        <v>14.08</v>
      </c>
      <c r="U58" s="42">
        <f t="shared" si="15"/>
        <v>4.2</v>
      </c>
      <c r="V58" s="42">
        <f t="shared" si="15"/>
        <v>0</v>
      </c>
      <c r="W58" s="42">
        <f t="shared" si="15"/>
        <v>0.12</v>
      </c>
      <c r="X58" s="42">
        <f t="shared" si="15"/>
        <v>0</v>
      </c>
      <c r="Y58" s="42">
        <f t="shared" si="15"/>
        <v>83.3</v>
      </c>
      <c r="Z58" s="42"/>
      <c r="AA58" s="42"/>
      <c r="AB58" s="42"/>
      <c r="AC58" s="42"/>
      <c r="AD58" s="42"/>
      <c r="AE58" s="42"/>
    </row>
    <row r="59" spans="1:35" x14ac:dyDescent="0.3">
      <c r="A59" s="8"/>
      <c r="D59" s="6"/>
      <c r="F59" t="s">
        <v>74</v>
      </c>
      <c r="G59" s="42">
        <f>SUMIF($E$47:$E$56,2,G47:G56)+SUMIF($E$47:$E$56,0,G47:G56)</f>
        <v>356.35</v>
      </c>
      <c r="H59" s="42">
        <f t="shared" ref="H59:Y59" si="16">SUMIF($E$47:$E$56,2,H47:H56)+SUMIF($E$47:$E$56,0,H47:H56)</f>
        <v>26.61</v>
      </c>
      <c r="I59" s="42">
        <f t="shared" si="16"/>
        <v>10.045</v>
      </c>
      <c r="J59" s="42">
        <f t="shared" si="16"/>
        <v>3.7050000000000001</v>
      </c>
      <c r="K59" s="42">
        <f t="shared" si="16"/>
        <v>0</v>
      </c>
      <c r="L59" s="42">
        <f t="shared" si="16"/>
        <v>4.12</v>
      </c>
      <c r="M59" s="42">
        <f t="shared" si="16"/>
        <v>16.310000000000002</v>
      </c>
      <c r="N59" s="42">
        <f t="shared" si="16"/>
        <v>0</v>
      </c>
      <c r="O59" s="42">
        <f t="shared" si="16"/>
        <v>0.7</v>
      </c>
      <c r="P59" s="42">
        <f t="shared" si="16"/>
        <v>0.8</v>
      </c>
      <c r="Q59" s="42">
        <f t="shared" si="16"/>
        <v>4.16</v>
      </c>
      <c r="R59" s="42">
        <f t="shared" si="16"/>
        <v>4.2699999999999996</v>
      </c>
      <c r="S59" s="42">
        <f t="shared" si="16"/>
        <v>65.539999999999992</v>
      </c>
      <c r="T59" s="42">
        <f t="shared" si="16"/>
        <v>18.559999999999999</v>
      </c>
      <c r="U59" s="42">
        <f t="shared" si="16"/>
        <v>10.11</v>
      </c>
      <c r="V59" s="42">
        <f t="shared" si="16"/>
        <v>0</v>
      </c>
      <c r="W59" s="42">
        <f t="shared" si="16"/>
        <v>6.17</v>
      </c>
      <c r="X59" s="42">
        <f t="shared" si="16"/>
        <v>0</v>
      </c>
      <c r="Y59" s="42">
        <f t="shared" si="16"/>
        <v>185.25</v>
      </c>
      <c r="Z59" s="42"/>
      <c r="AA59" s="42"/>
      <c r="AB59" s="42"/>
      <c r="AC59" s="42"/>
      <c r="AD59" s="42"/>
      <c r="AE59" s="42"/>
    </row>
    <row r="60" spans="1:35" x14ac:dyDescent="0.3">
      <c r="A60" s="8"/>
      <c r="D60" s="6"/>
      <c r="G60" s="3"/>
      <c r="H60" s="3"/>
      <c r="I60" s="3"/>
      <c r="J60" s="3"/>
      <c r="K60" s="3"/>
      <c r="L60" s="3"/>
      <c r="M60" s="3"/>
      <c r="N60" s="3"/>
      <c r="O60" s="3"/>
      <c r="P60" s="3"/>
      <c r="Q60" s="3"/>
      <c r="R60" s="3"/>
      <c r="S60" s="3"/>
      <c r="T60" s="3"/>
      <c r="U60" s="3"/>
      <c r="V60" s="3"/>
      <c r="W60" s="3"/>
      <c r="X60" s="3"/>
      <c r="Y60" s="3"/>
      <c r="Z60" s="3"/>
      <c r="AA60" s="3"/>
      <c r="AB60" s="3"/>
      <c r="AC60" s="3"/>
      <c r="AD60" s="3"/>
      <c r="AE60" s="3"/>
    </row>
    <row r="61" spans="1:35" x14ac:dyDescent="0.3">
      <c r="A61" s="155" t="s">
        <v>66</v>
      </c>
      <c r="B61">
        <v>1</v>
      </c>
      <c r="C61" s="11">
        <v>44192</v>
      </c>
      <c r="D61" s="6">
        <v>1</v>
      </c>
      <c r="E61">
        <v>1</v>
      </c>
      <c r="F61">
        <v>1</v>
      </c>
      <c r="G61" s="3">
        <f t="shared" si="0"/>
        <v>10.615</v>
      </c>
      <c r="H61" s="3">
        <f>0.8</f>
        <v>0.8</v>
      </c>
      <c r="I61" s="3">
        <f>0.29</f>
        <v>0.28999999999999998</v>
      </c>
      <c r="J61" s="3">
        <v>0</v>
      </c>
      <c r="K61" s="3">
        <v>0</v>
      </c>
      <c r="L61" s="3">
        <f>0.42/2</f>
        <v>0.21</v>
      </c>
      <c r="M61" s="3">
        <f>0.42/2</f>
        <v>0.21</v>
      </c>
      <c r="N61" s="3">
        <v>0</v>
      </c>
      <c r="O61" s="3">
        <f>0.125</f>
        <v>0.125</v>
      </c>
      <c r="P61" s="3">
        <v>0</v>
      </c>
      <c r="Q61" s="3">
        <v>0</v>
      </c>
      <c r="R61" s="3">
        <f>1.39</f>
        <v>1.39</v>
      </c>
      <c r="S61" s="3">
        <v>0.4</v>
      </c>
      <c r="T61" s="3">
        <v>0</v>
      </c>
      <c r="U61" s="3">
        <f>0.38</f>
        <v>0.38</v>
      </c>
      <c r="V61" s="3">
        <v>0</v>
      </c>
      <c r="W61" s="3">
        <f>0.2+0.21</f>
        <v>0.41000000000000003</v>
      </c>
      <c r="X61" s="3">
        <v>0</v>
      </c>
      <c r="Y61" s="3">
        <f>3.8+2.8-0.1-0.1</f>
        <v>6.4</v>
      </c>
      <c r="Z61" s="3">
        <f>SUM(I61:K61)</f>
        <v>0.28999999999999998</v>
      </c>
      <c r="AA61" s="3">
        <f>SUM(L61:N61)</f>
        <v>0.42</v>
      </c>
      <c r="AB61" s="3">
        <f>SUM(O61:P61)</f>
        <v>0.125</v>
      </c>
      <c r="AC61" s="3">
        <f>SUM(R61:S61)</f>
        <v>1.79</v>
      </c>
      <c r="AD61" s="3">
        <f>SUM(T61:V61)</f>
        <v>0.38</v>
      </c>
      <c r="AE61" s="3">
        <f>SUM(Z61:AD61)+H61</f>
        <v>3.8049999999999997</v>
      </c>
      <c r="AG61" s="4"/>
    </row>
    <row r="62" spans="1:35" x14ac:dyDescent="0.3">
      <c r="A62" s="155"/>
      <c r="B62">
        <v>2</v>
      </c>
      <c r="C62" s="11">
        <v>44192</v>
      </c>
      <c r="D62" s="6">
        <v>1</v>
      </c>
      <c r="E62">
        <v>1</v>
      </c>
      <c r="F62">
        <v>1</v>
      </c>
      <c r="G62" s="3">
        <f t="shared" si="0"/>
        <v>26.46</v>
      </c>
      <c r="H62" s="3">
        <f>0.6+0.7</f>
        <v>1.2999999999999998</v>
      </c>
      <c r="I62" s="3">
        <f>1.8-0.5</f>
        <v>1.3</v>
      </c>
      <c r="J62" s="3">
        <f>1.06-0.1</f>
        <v>0.96000000000000008</v>
      </c>
      <c r="K62" s="3">
        <v>0</v>
      </c>
      <c r="L62" s="3">
        <v>0.26</v>
      </c>
      <c r="M62" s="3">
        <f>0.72</f>
        <v>0.72</v>
      </c>
      <c r="N62" s="3">
        <v>0</v>
      </c>
      <c r="O62" s="3">
        <f>1.12+0.18-0.1</f>
        <v>1.2</v>
      </c>
      <c r="P62" s="3">
        <v>0</v>
      </c>
      <c r="Q62" s="3">
        <f>0.22+0.18+0.5+0.2</f>
        <v>1.1000000000000001</v>
      </c>
      <c r="R62" s="3">
        <f>0.24</f>
        <v>0.24</v>
      </c>
      <c r="S62" s="3">
        <v>0.38</v>
      </c>
      <c r="T62" s="3">
        <f>2.2-0.1</f>
        <v>2.1</v>
      </c>
      <c r="U62" s="3">
        <f>1.4-0.2</f>
        <v>1.2</v>
      </c>
      <c r="V62" s="3">
        <v>0</v>
      </c>
      <c r="W62" s="3">
        <v>0</v>
      </c>
      <c r="X62" s="3">
        <v>0</v>
      </c>
      <c r="Y62" s="3">
        <f>15.8-0.1</f>
        <v>15.700000000000001</v>
      </c>
      <c r="Z62" s="3">
        <f t="shared" ref="Z62:Z99" si="17">SUM(I62:K62)</f>
        <v>2.2600000000000002</v>
      </c>
      <c r="AA62" s="3">
        <f t="shared" ref="AA62:AA99" si="18">SUM(L62:N62)</f>
        <v>0.98</v>
      </c>
      <c r="AB62" s="3">
        <f t="shared" ref="AB62:AB99" si="19">SUM(O62:P62)</f>
        <v>1.2</v>
      </c>
      <c r="AC62" s="3">
        <f t="shared" ref="AC62:AC99" si="20">SUM(R62:S62)</f>
        <v>0.62</v>
      </c>
      <c r="AD62" s="3">
        <f t="shared" ref="AD62:AD99" si="21">SUM(T62:V62)</f>
        <v>3.3</v>
      </c>
      <c r="AE62" s="3">
        <f t="shared" ref="AE62:AE99" si="22">SUM(Z62:AD62)+H62</f>
        <v>9.66</v>
      </c>
      <c r="AG62" s="4"/>
    </row>
    <row r="63" spans="1:35" x14ac:dyDescent="0.3">
      <c r="A63" s="155"/>
      <c r="B63">
        <v>5</v>
      </c>
      <c r="C63" s="11">
        <v>44192</v>
      </c>
      <c r="D63" s="6">
        <v>1</v>
      </c>
      <c r="E63">
        <v>1</v>
      </c>
      <c r="F63">
        <v>1</v>
      </c>
      <c r="G63" s="3">
        <f t="shared" si="0"/>
        <v>96.66</v>
      </c>
      <c r="H63" s="3">
        <f>8.2-0.5</f>
        <v>7.6999999999999993</v>
      </c>
      <c r="I63" s="3">
        <f>2.79-0.38</f>
        <v>2.41</v>
      </c>
      <c r="J63" s="3">
        <f>1.8-0.38</f>
        <v>1.42</v>
      </c>
      <c r="K63" s="3">
        <v>0</v>
      </c>
      <c r="L63" s="3">
        <f>1.48-0.62</f>
        <v>0.86</v>
      </c>
      <c r="M63" s="3">
        <f>4.38-0.78</f>
        <v>3.5999999999999996</v>
      </c>
      <c r="N63" s="3">
        <v>0</v>
      </c>
      <c r="O63" s="3">
        <f>2.24-0.44</f>
        <v>1.8000000000000003</v>
      </c>
      <c r="P63" s="3">
        <v>0</v>
      </c>
      <c r="Q63" s="3">
        <f>4.45</f>
        <v>4.45</v>
      </c>
      <c r="R63" s="3">
        <f>1.8-0.78</f>
        <v>1.02</v>
      </c>
      <c r="S63" s="3">
        <v>0</v>
      </c>
      <c r="T63" s="3">
        <f>1.35+0.5+1.8+2.55</f>
        <v>6.2</v>
      </c>
      <c r="U63" s="3">
        <f>2.6-0.54</f>
        <v>2.06</v>
      </c>
      <c r="V63" s="3">
        <v>0</v>
      </c>
      <c r="W63" s="3">
        <f>3.36-0.62</f>
        <v>2.7399999999999998</v>
      </c>
      <c r="X63" s="3">
        <v>0</v>
      </c>
      <c r="Y63" s="3">
        <f>37.25+25+ 14.6-4.85-4.75-4.85</f>
        <v>62.4</v>
      </c>
      <c r="Z63" s="3">
        <f t="shared" si="17"/>
        <v>3.83</v>
      </c>
      <c r="AA63" s="3">
        <f t="shared" si="18"/>
        <v>4.46</v>
      </c>
      <c r="AB63" s="3">
        <f t="shared" si="19"/>
        <v>1.8000000000000003</v>
      </c>
      <c r="AC63" s="3">
        <f t="shared" si="20"/>
        <v>1.02</v>
      </c>
      <c r="AD63" s="3">
        <f t="shared" si="21"/>
        <v>8.26</v>
      </c>
      <c r="AE63" s="3">
        <f t="shared" si="22"/>
        <v>27.069999999999997</v>
      </c>
      <c r="AH63" s="4"/>
    </row>
    <row r="64" spans="1:35" x14ac:dyDescent="0.3">
      <c r="A64" s="155"/>
      <c r="B64">
        <v>6</v>
      </c>
      <c r="C64" s="11">
        <v>44192</v>
      </c>
      <c r="D64" s="6">
        <v>1</v>
      </c>
      <c r="E64">
        <v>1</v>
      </c>
      <c r="F64">
        <v>1</v>
      </c>
      <c r="G64" s="3">
        <f t="shared" si="0"/>
        <v>180.7</v>
      </c>
      <c r="H64" s="3">
        <f>9.8-0.55</f>
        <v>9.25</v>
      </c>
      <c r="I64" s="3">
        <f>1.3/3*2</f>
        <v>0.8666666666666667</v>
      </c>
      <c r="J64" s="3">
        <f>1.3/3*1</f>
        <v>0.43333333333333335</v>
      </c>
      <c r="K64" s="3">
        <v>0</v>
      </c>
      <c r="L64" s="3">
        <f>2.2-0.4</f>
        <v>1.8000000000000003</v>
      </c>
      <c r="M64" s="3">
        <f>7.45-0.7-0.2</f>
        <v>6.55</v>
      </c>
      <c r="N64" s="3">
        <v>0</v>
      </c>
      <c r="O64" s="3">
        <v>0</v>
      </c>
      <c r="P64" s="3">
        <v>0</v>
      </c>
      <c r="Q64" s="3">
        <v>7.85</v>
      </c>
      <c r="R64" s="3">
        <f>2.4+1.3-0.65-0.5</f>
        <v>2.5500000000000003</v>
      </c>
      <c r="S64" s="3">
        <f>38.2-0.1</f>
        <v>38.1</v>
      </c>
      <c r="T64" s="3">
        <f>2.2+4.2</f>
        <v>6.4</v>
      </c>
      <c r="U64" s="3">
        <f>1.7-0.5</f>
        <v>1.2</v>
      </c>
      <c r="V64" s="3">
        <v>0</v>
      </c>
      <c r="W64" s="3">
        <v>0</v>
      </c>
      <c r="X64" s="3">
        <v>0</v>
      </c>
      <c r="Y64" s="3">
        <f>34+33.5+28.2+6.8+6-0.4-2.4</f>
        <v>105.69999999999999</v>
      </c>
      <c r="Z64" s="3">
        <f t="shared" si="17"/>
        <v>1.3</v>
      </c>
      <c r="AA64" s="3">
        <f t="shared" si="18"/>
        <v>8.35</v>
      </c>
      <c r="AB64" s="3">
        <f t="shared" si="19"/>
        <v>0</v>
      </c>
      <c r="AC64" s="3">
        <f t="shared" si="20"/>
        <v>40.65</v>
      </c>
      <c r="AD64" s="3">
        <f t="shared" si="21"/>
        <v>7.6000000000000005</v>
      </c>
      <c r="AE64" s="3">
        <f t="shared" si="22"/>
        <v>67.150000000000006</v>
      </c>
    </row>
    <row r="65" spans="1:32" x14ac:dyDescent="0.3">
      <c r="A65" s="8"/>
      <c r="D65" s="6"/>
      <c r="F65" t="s">
        <v>75</v>
      </c>
      <c r="G65" s="42">
        <f t="shared" ref="G65:Y65" si="23">SUM(G61:G64)</f>
        <v>314.435</v>
      </c>
      <c r="H65" s="42">
        <f t="shared" si="23"/>
        <v>19.049999999999997</v>
      </c>
      <c r="I65" s="42">
        <f t="shared" si="23"/>
        <v>4.8666666666666671</v>
      </c>
      <c r="J65" s="42">
        <f t="shared" si="23"/>
        <v>2.8133333333333335</v>
      </c>
      <c r="K65" s="42">
        <f t="shared" si="23"/>
        <v>0</v>
      </c>
      <c r="L65" s="42">
        <f t="shared" si="23"/>
        <v>3.1300000000000003</v>
      </c>
      <c r="M65" s="42">
        <f t="shared" si="23"/>
        <v>11.079999999999998</v>
      </c>
      <c r="N65" s="42">
        <f t="shared" si="23"/>
        <v>0</v>
      </c>
      <c r="O65" s="42">
        <f t="shared" si="23"/>
        <v>3.125</v>
      </c>
      <c r="P65" s="42">
        <f t="shared" si="23"/>
        <v>0</v>
      </c>
      <c r="Q65" s="42">
        <f t="shared" si="23"/>
        <v>13.4</v>
      </c>
      <c r="R65" s="42">
        <f t="shared" si="23"/>
        <v>5.2</v>
      </c>
      <c r="S65" s="42">
        <f t="shared" si="23"/>
        <v>38.880000000000003</v>
      </c>
      <c r="T65" s="42">
        <f t="shared" si="23"/>
        <v>14.700000000000001</v>
      </c>
      <c r="U65" s="42">
        <f t="shared" si="23"/>
        <v>4.84</v>
      </c>
      <c r="V65" s="42">
        <f t="shared" si="23"/>
        <v>0</v>
      </c>
      <c r="W65" s="42">
        <f t="shared" si="23"/>
        <v>3.15</v>
      </c>
      <c r="X65" s="42">
        <f t="shared" si="23"/>
        <v>0</v>
      </c>
      <c r="Y65" s="42">
        <f t="shared" si="23"/>
        <v>190.2</v>
      </c>
      <c r="Z65" s="3">
        <f t="shared" si="17"/>
        <v>7.6800000000000006</v>
      </c>
      <c r="AA65" s="3">
        <f t="shared" si="18"/>
        <v>14.209999999999999</v>
      </c>
      <c r="AB65" s="3">
        <f t="shared" si="19"/>
        <v>3.125</v>
      </c>
      <c r="AC65" s="3">
        <f t="shared" si="20"/>
        <v>44.080000000000005</v>
      </c>
      <c r="AD65" s="3">
        <f t="shared" si="21"/>
        <v>19.54</v>
      </c>
      <c r="AE65" s="3">
        <f t="shared" si="22"/>
        <v>107.68499999999999</v>
      </c>
    </row>
    <row r="66" spans="1:32" x14ac:dyDescent="0.3">
      <c r="A66" s="8"/>
      <c r="D66" s="6"/>
      <c r="G66" s="3"/>
      <c r="H66" s="3"/>
      <c r="I66" s="3"/>
      <c r="J66" s="3"/>
      <c r="K66" s="3"/>
      <c r="L66" s="3"/>
      <c r="M66" s="3"/>
      <c r="N66" s="3"/>
      <c r="O66" s="3"/>
      <c r="P66" s="3"/>
      <c r="Q66" s="3"/>
      <c r="R66" s="3"/>
      <c r="S66" s="3"/>
      <c r="T66" s="3"/>
      <c r="U66" s="3"/>
      <c r="V66" s="3"/>
      <c r="W66" s="3"/>
      <c r="X66" s="3"/>
      <c r="Y66" s="3"/>
      <c r="Z66" s="3">
        <f t="shared" si="17"/>
        <v>0</v>
      </c>
      <c r="AA66" s="3">
        <f t="shared" si="18"/>
        <v>0</v>
      </c>
      <c r="AB66" s="3">
        <f t="shared" si="19"/>
        <v>0</v>
      </c>
      <c r="AC66" s="3">
        <f t="shared" si="20"/>
        <v>0</v>
      </c>
      <c r="AD66" s="3">
        <f t="shared" si="21"/>
        <v>0</v>
      </c>
      <c r="AE66" s="3">
        <f t="shared" si="22"/>
        <v>0</v>
      </c>
    </row>
    <row r="67" spans="1:32" x14ac:dyDescent="0.3">
      <c r="A67" s="155" t="s">
        <v>66</v>
      </c>
      <c r="B67" s="22">
        <v>5</v>
      </c>
      <c r="C67" s="23">
        <v>44193</v>
      </c>
      <c r="D67" s="24">
        <v>2</v>
      </c>
      <c r="E67" s="22">
        <v>1</v>
      </c>
      <c r="F67" s="22">
        <v>1</v>
      </c>
      <c r="G67" s="25">
        <f t="shared" si="0"/>
        <v>107.45</v>
      </c>
      <c r="H67" s="25">
        <f>6.25+3.46</f>
        <v>9.7100000000000009</v>
      </c>
      <c r="I67" s="25">
        <f>2.5-0.7</f>
        <v>1.8</v>
      </c>
      <c r="J67" s="25">
        <f>1.3-0.62</f>
        <v>0.68</v>
      </c>
      <c r="K67" s="25">
        <v>0</v>
      </c>
      <c r="L67" s="25">
        <v>0.76</v>
      </c>
      <c r="M67" s="25">
        <f>1.54+4.1-0.7</f>
        <v>4.9399999999999995</v>
      </c>
      <c r="N67" s="25">
        <v>0</v>
      </c>
      <c r="O67" s="25">
        <f>1.25+0.6</f>
        <v>1.85</v>
      </c>
      <c r="P67" s="25">
        <v>0</v>
      </c>
      <c r="Q67" s="25">
        <f>8.08-0.3</f>
        <v>7.78</v>
      </c>
      <c r="R67" s="25">
        <f>1-0.6</f>
        <v>0.4</v>
      </c>
      <c r="S67" s="25">
        <v>3.13</v>
      </c>
      <c r="T67" s="25">
        <f>6.2-0</f>
        <v>6.2</v>
      </c>
      <c r="U67" s="25">
        <f>1.92+0.8-0.8-0.42</f>
        <v>1.4999999999999998</v>
      </c>
      <c r="V67" s="25">
        <v>0</v>
      </c>
      <c r="W67" s="25">
        <v>0</v>
      </c>
      <c r="X67" s="25">
        <v>0</v>
      </c>
      <c r="Y67" s="25">
        <f>54+20-0.1-5.2</f>
        <v>68.7</v>
      </c>
      <c r="Z67" s="3">
        <f t="shared" si="17"/>
        <v>2.48</v>
      </c>
      <c r="AA67" s="3">
        <f t="shared" si="18"/>
        <v>5.6999999999999993</v>
      </c>
      <c r="AB67" s="3">
        <f t="shared" si="19"/>
        <v>1.85</v>
      </c>
      <c r="AC67" s="3">
        <f t="shared" si="20"/>
        <v>3.53</v>
      </c>
      <c r="AD67" s="3">
        <f t="shared" si="21"/>
        <v>7.7</v>
      </c>
      <c r="AE67" s="3">
        <f t="shared" si="22"/>
        <v>30.97</v>
      </c>
      <c r="AF67" t="s">
        <v>50</v>
      </c>
    </row>
    <row r="68" spans="1:32" x14ac:dyDescent="0.3">
      <c r="A68" s="155"/>
      <c r="B68" s="22">
        <v>5</v>
      </c>
      <c r="C68" s="23">
        <v>44193</v>
      </c>
      <c r="D68" s="24">
        <v>2</v>
      </c>
      <c r="E68" s="22">
        <v>2</v>
      </c>
      <c r="F68" s="22">
        <v>1</v>
      </c>
      <c r="G68" s="25">
        <f t="shared" si="0"/>
        <v>109.96000000000001</v>
      </c>
      <c r="H68" s="25">
        <f>5.3-0.5</f>
        <v>4.8</v>
      </c>
      <c r="I68" s="25">
        <f>3.7+2-0.42-0.42</f>
        <v>4.8600000000000003</v>
      </c>
      <c r="J68" s="25">
        <f>1.1+1.02+0.3-0.2-0.2-0.2</f>
        <v>1.8199999999999996</v>
      </c>
      <c r="K68" s="25">
        <v>0</v>
      </c>
      <c r="L68" s="25">
        <v>0.34</v>
      </c>
      <c r="M68" s="25">
        <f>4.54-0.7</f>
        <v>3.84</v>
      </c>
      <c r="N68" s="25">
        <v>0</v>
      </c>
      <c r="O68" s="25">
        <f>(2.76+0.42-0.54)/2</f>
        <v>1.3199999999999998</v>
      </c>
      <c r="P68" s="25">
        <f>(2.76+0.42-0.54)/2</f>
        <v>1.3199999999999998</v>
      </c>
      <c r="Q68" s="25">
        <f>16.4-4.6</f>
        <v>11.799999999999999</v>
      </c>
      <c r="R68" s="25">
        <f>1.54-0.54</f>
        <v>1</v>
      </c>
      <c r="S68" s="25">
        <v>0</v>
      </c>
      <c r="T68" s="25">
        <f>2.5+3.98+3.5-0.6-0.6</f>
        <v>8.7800000000000011</v>
      </c>
      <c r="U68" s="25">
        <f>1.7+1.82+2.46-0.4-0.45-0.45</f>
        <v>4.68</v>
      </c>
      <c r="V68" s="25">
        <v>0</v>
      </c>
      <c r="W68" s="25">
        <f>0.86+0.64</f>
        <v>1.5</v>
      </c>
      <c r="X68" s="25">
        <v>0</v>
      </c>
      <c r="Y68" s="25">
        <f>36.5+38-5.8-4.8</f>
        <v>63.900000000000006</v>
      </c>
      <c r="Z68" s="3">
        <f t="shared" si="17"/>
        <v>6.68</v>
      </c>
      <c r="AA68" s="3">
        <f t="shared" si="18"/>
        <v>4.18</v>
      </c>
      <c r="AB68" s="3">
        <f t="shared" si="19"/>
        <v>2.6399999999999997</v>
      </c>
      <c r="AC68" s="3">
        <f t="shared" si="20"/>
        <v>1</v>
      </c>
      <c r="AD68" s="3">
        <f t="shared" si="21"/>
        <v>13.46</v>
      </c>
      <c r="AE68" s="3">
        <f t="shared" si="22"/>
        <v>32.76</v>
      </c>
      <c r="AF68" t="s">
        <v>52</v>
      </c>
    </row>
    <row r="69" spans="1:32" x14ac:dyDescent="0.3">
      <c r="A69" s="155"/>
      <c r="B69" s="22">
        <v>1</v>
      </c>
      <c r="C69" s="23">
        <v>44193</v>
      </c>
      <c r="D69" s="24">
        <v>2</v>
      </c>
      <c r="E69" s="22">
        <v>1</v>
      </c>
      <c r="F69" s="22">
        <v>1</v>
      </c>
      <c r="G69" s="25">
        <f t="shared" si="0"/>
        <v>8.625</v>
      </c>
      <c r="H69" s="25">
        <v>0.7</v>
      </c>
      <c r="I69" s="25">
        <f>(0.2+0.025)/2</f>
        <v>0.1125</v>
      </c>
      <c r="J69" s="25">
        <f>(0.2+0.025)/2</f>
        <v>0.1125</v>
      </c>
      <c r="K69" s="25">
        <v>0</v>
      </c>
      <c r="L69" s="25">
        <v>0.1</v>
      </c>
      <c r="M69" s="25">
        <v>0</v>
      </c>
      <c r="N69" s="25">
        <v>0</v>
      </c>
      <c r="O69" s="25">
        <v>0.3</v>
      </c>
      <c r="P69" s="25">
        <v>0</v>
      </c>
      <c r="Q69" s="25">
        <v>0</v>
      </c>
      <c r="R69" s="25">
        <v>0</v>
      </c>
      <c r="S69" s="25">
        <v>0</v>
      </c>
      <c r="T69" s="25">
        <f>0.3/2</f>
        <v>0.15</v>
      </c>
      <c r="U69" s="25">
        <f>0.3/2</f>
        <v>0.15</v>
      </c>
      <c r="V69" s="25">
        <v>0</v>
      </c>
      <c r="W69" s="25">
        <v>0</v>
      </c>
      <c r="X69" s="25">
        <v>0</v>
      </c>
      <c r="Y69" s="25">
        <v>7</v>
      </c>
      <c r="Z69" s="3">
        <f t="shared" si="17"/>
        <v>0.22500000000000001</v>
      </c>
      <c r="AA69" s="3">
        <f t="shared" si="18"/>
        <v>0.1</v>
      </c>
      <c r="AB69" s="3">
        <f t="shared" si="19"/>
        <v>0.3</v>
      </c>
      <c r="AC69" s="3">
        <f t="shared" si="20"/>
        <v>0</v>
      </c>
      <c r="AD69" s="3">
        <f t="shared" si="21"/>
        <v>0.3</v>
      </c>
      <c r="AE69" s="3">
        <f t="shared" si="22"/>
        <v>1.625</v>
      </c>
      <c r="AF69" t="s">
        <v>51</v>
      </c>
    </row>
    <row r="70" spans="1:32" x14ac:dyDescent="0.3">
      <c r="A70" s="155"/>
      <c r="B70" s="22">
        <v>1</v>
      </c>
      <c r="C70" s="23">
        <v>44193</v>
      </c>
      <c r="D70" s="24">
        <v>2</v>
      </c>
      <c r="E70" s="22">
        <v>2</v>
      </c>
      <c r="F70" s="22">
        <v>1</v>
      </c>
      <c r="G70" s="25">
        <f t="shared" si="0"/>
        <v>5.54</v>
      </c>
      <c r="H70" s="25">
        <v>1.82</v>
      </c>
      <c r="I70" s="25">
        <v>0</v>
      </c>
      <c r="J70" s="25">
        <v>0</v>
      </c>
      <c r="K70" s="25">
        <v>0</v>
      </c>
      <c r="L70" s="25">
        <v>0.02</v>
      </c>
      <c r="M70" s="25">
        <v>0</v>
      </c>
      <c r="N70" s="25">
        <v>0</v>
      </c>
      <c r="O70" s="25">
        <v>0.08</v>
      </c>
      <c r="P70" s="25">
        <v>0</v>
      </c>
      <c r="Q70" s="25">
        <v>0</v>
      </c>
      <c r="R70" s="25">
        <v>0.06</v>
      </c>
      <c r="S70" s="25">
        <v>0</v>
      </c>
      <c r="T70" s="25">
        <v>0</v>
      </c>
      <c r="U70" s="25">
        <v>0.06</v>
      </c>
      <c r="V70" s="25">
        <v>0</v>
      </c>
      <c r="W70" s="25">
        <v>0</v>
      </c>
      <c r="X70" s="25">
        <v>0</v>
      </c>
      <c r="Y70" s="25">
        <v>3.5</v>
      </c>
      <c r="Z70" s="3">
        <f t="shared" si="17"/>
        <v>0</v>
      </c>
      <c r="AA70" s="3">
        <f t="shared" si="18"/>
        <v>0.02</v>
      </c>
      <c r="AB70" s="3">
        <f t="shared" si="19"/>
        <v>0.08</v>
      </c>
      <c r="AC70" s="3">
        <f t="shared" si="20"/>
        <v>0.06</v>
      </c>
      <c r="AD70" s="3">
        <f t="shared" si="21"/>
        <v>0.06</v>
      </c>
      <c r="AE70" s="3">
        <f t="shared" si="22"/>
        <v>2.04</v>
      </c>
      <c r="AF70" t="s">
        <v>53</v>
      </c>
    </row>
    <row r="71" spans="1:32" x14ac:dyDescent="0.3">
      <c r="A71" s="155"/>
      <c r="B71" s="22">
        <v>3</v>
      </c>
      <c r="C71" s="23">
        <v>44193</v>
      </c>
      <c r="D71" s="24">
        <v>2</v>
      </c>
      <c r="E71" s="22">
        <v>1</v>
      </c>
      <c r="F71" s="22">
        <v>1</v>
      </c>
      <c r="G71" s="25">
        <f t="shared" si="0"/>
        <v>2.1500000000000004</v>
      </c>
      <c r="H71" s="25">
        <v>0.75</v>
      </c>
      <c r="I71" s="25">
        <v>0</v>
      </c>
      <c r="J71" s="25">
        <v>0</v>
      </c>
      <c r="K71" s="25">
        <v>0</v>
      </c>
      <c r="L71" s="25">
        <v>0</v>
      </c>
      <c r="M71" s="25">
        <v>0</v>
      </c>
      <c r="N71" s="25">
        <v>0</v>
      </c>
      <c r="O71" s="25">
        <v>0</v>
      </c>
      <c r="P71" s="25">
        <v>0</v>
      </c>
      <c r="Q71" s="25">
        <v>0</v>
      </c>
      <c r="R71" s="25">
        <v>0.2</v>
      </c>
      <c r="S71" s="25">
        <v>0.4</v>
      </c>
      <c r="T71" s="25">
        <v>0.5</v>
      </c>
      <c r="U71" s="25">
        <v>0.1</v>
      </c>
      <c r="V71" s="25">
        <v>0</v>
      </c>
      <c r="W71" s="25">
        <v>0</v>
      </c>
      <c r="X71" s="25">
        <v>0</v>
      </c>
      <c r="Y71" s="25">
        <v>0.2</v>
      </c>
      <c r="Z71" s="3">
        <f t="shared" si="17"/>
        <v>0</v>
      </c>
      <c r="AA71" s="3">
        <f t="shared" si="18"/>
        <v>0</v>
      </c>
      <c r="AB71" s="3">
        <f t="shared" si="19"/>
        <v>0</v>
      </c>
      <c r="AC71" s="3">
        <f t="shared" si="20"/>
        <v>0.60000000000000009</v>
      </c>
      <c r="AD71" s="3">
        <f t="shared" si="21"/>
        <v>0.6</v>
      </c>
      <c r="AE71" s="3">
        <f t="shared" si="22"/>
        <v>1.9500000000000002</v>
      </c>
      <c r="AF71" t="s">
        <v>54</v>
      </c>
    </row>
    <row r="72" spans="1:32" x14ac:dyDescent="0.3">
      <c r="A72" s="155"/>
      <c r="B72" s="22">
        <v>3</v>
      </c>
      <c r="C72" s="23">
        <v>44193</v>
      </c>
      <c r="D72" s="24">
        <v>2</v>
      </c>
      <c r="E72" s="22">
        <v>2</v>
      </c>
      <c r="F72" s="22">
        <v>1</v>
      </c>
      <c r="G72" s="25">
        <f t="shared" si="0"/>
        <v>5.2899999999999991</v>
      </c>
      <c r="H72" s="25">
        <v>0</v>
      </c>
      <c r="I72" s="25">
        <f>(1.3-0.62)/2</f>
        <v>0.34</v>
      </c>
      <c r="J72" s="25">
        <f>(1.3-0.62)/2</f>
        <v>0.34</v>
      </c>
      <c r="K72" s="25">
        <v>0</v>
      </c>
      <c r="L72" s="25">
        <v>0.06</v>
      </c>
      <c r="M72" s="25">
        <v>0.15</v>
      </c>
      <c r="N72" s="25">
        <v>0</v>
      </c>
      <c r="O72" s="25">
        <v>0.4</v>
      </c>
      <c r="P72" s="25">
        <v>0</v>
      </c>
      <c r="Q72" s="25">
        <v>0</v>
      </c>
      <c r="R72" s="25">
        <v>0</v>
      </c>
      <c r="S72" s="25">
        <v>0</v>
      </c>
      <c r="T72" s="25">
        <f>(0.9-0.6)/2</f>
        <v>0.15000000000000002</v>
      </c>
      <c r="U72" s="25">
        <f>(0.9-0.6)/2</f>
        <v>0.15000000000000002</v>
      </c>
      <c r="V72" s="25">
        <v>0</v>
      </c>
      <c r="W72" s="25">
        <v>0</v>
      </c>
      <c r="X72" s="25">
        <v>0</v>
      </c>
      <c r="Y72" s="25">
        <f>3.8-0.1</f>
        <v>3.6999999999999997</v>
      </c>
      <c r="Z72" s="3">
        <f t="shared" si="17"/>
        <v>0.68</v>
      </c>
      <c r="AA72" s="3">
        <f t="shared" si="18"/>
        <v>0.21</v>
      </c>
      <c r="AB72" s="3">
        <f t="shared" si="19"/>
        <v>0.4</v>
      </c>
      <c r="AC72" s="3">
        <f t="shared" si="20"/>
        <v>0</v>
      </c>
      <c r="AD72" s="3">
        <f t="shared" si="21"/>
        <v>0.30000000000000004</v>
      </c>
      <c r="AE72" s="3">
        <f t="shared" si="22"/>
        <v>1.59</v>
      </c>
    </row>
    <row r="73" spans="1:32" x14ac:dyDescent="0.3">
      <c r="A73" s="155"/>
      <c r="B73" s="22">
        <v>2</v>
      </c>
      <c r="C73" s="23">
        <v>44193</v>
      </c>
      <c r="D73" s="24">
        <v>2</v>
      </c>
      <c r="E73" s="22">
        <v>1</v>
      </c>
      <c r="F73" s="22">
        <v>1</v>
      </c>
      <c r="G73" s="25">
        <f t="shared" si="0"/>
        <v>14.330000000000002</v>
      </c>
      <c r="H73" s="25">
        <v>0</v>
      </c>
      <c r="I73" s="25">
        <v>0</v>
      </c>
      <c r="J73" s="25">
        <v>0</v>
      </c>
      <c r="K73" s="25">
        <v>0</v>
      </c>
      <c r="L73" s="25">
        <v>0.38</v>
      </c>
      <c r="M73" s="25">
        <v>0</v>
      </c>
      <c r="N73" s="25">
        <v>0</v>
      </c>
      <c r="O73" s="25">
        <v>0</v>
      </c>
      <c r="P73" s="25">
        <v>0</v>
      </c>
      <c r="Q73" s="25">
        <v>1.34</v>
      </c>
      <c r="R73" s="25">
        <v>0.39</v>
      </c>
      <c r="S73" s="25">
        <v>0</v>
      </c>
      <c r="T73" s="25">
        <v>0.62</v>
      </c>
      <c r="U73" s="25">
        <v>0.8</v>
      </c>
      <c r="V73" s="25">
        <v>0</v>
      </c>
      <c r="W73" s="25">
        <v>3</v>
      </c>
      <c r="X73" s="25">
        <v>0</v>
      </c>
      <c r="Y73" s="25">
        <f>8.8-1</f>
        <v>7.8000000000000007</v>
      </c>
      <c r="Z73" s="3">
        <f t="shared" si="17"/>
        <v>0</v>
      </c>
      <c r="AA73" s="3">
        <f t="shared" si="18"/>
        <v>0.38</v>
      </c>
      <c r="AB73" s="3">
        <f t="shared" si="19"/>
        <v>0</v>
      </c>
      <c r="AC73" s="3">
        <f t="shared" si="20"/>
        <v>0.39</v>
      </c>
      <c r="AD73" s="3">
        <f t="shared" si="21"/>
        <v>1.42</v>
      </c>
      <c r="AE73" s="3">
        <f t="shared" si="22"/>
        <v>2.19</v>
      </c>
      <c r="AF73" t="s">
        <v>55</v>
      </c>
    </row>
    <row r="74" spans="1:32" x14ac:dyDescent="0.3">
      <c r="A74" s="155"/>
      <c r="B74" s="22">
        <v>2</v>
      </c>
      <c r="C74" s="23">
        <v>44193</v>
      </c>
      <c r="D74" s="24">
        <v>2</v>
      </c>
      <c r="E74" s="22">
        <v>2</v>
      </c>
      <c r="F74" s="22">
        <v>1</v>
      </c>
      <c r="G74" s="25">
        <f t="shared" si="0"/>
        <v>6.1100000000000012</v>
      </c>
      <c r="H74" s="25">
        <f>0.58-0.5</f>
        <v>7.999999999999996E-2</v>
      </c>
      <c r="I74" s="25">
        <f>2-0.5</f>
        <v>1.5</v>
      </c>
      <c r="J74" s="25">
        <f>0.7-0.1</f>
        <v>0.6</v>
      </c>
      <c r="K74" s="25">
        <v>0</v>
      </c>
      <c r="L74" s="25">
        <f>0.8-0.5</f>
        <v>0.30000000000000004</v>
      </c>
      <c r="M74" s="25">
        <v>0</v>
      </c>
      <c r="N74" s="25">
        <v>0</v>
      </c>
      <c r="O74" s="25">
        <v>0</v>
      </c>
      <c r="P74" s="25">
        <v>0</v>
      </c>
      <c r="Q74" s="25">
        <v>0</v>
      </c>
      <c r="R74" s="25">
        <f>0.78-0.5</f>
        <v>0.28000000000000003</v>
      </c>
      <c r="S74" s="25">
        <v>0</v>
      </c>
      <c r="T74" s="25">
        <f>0.7</f>
        <v>0.7</v>
      </c>
      <c r="U74" s="25">
        <f>0.6-0.1</f>
        <v>0.5</v>
      </c>
      <c r="V74" s="25">
        <v>0</v>
      </c>
      <c r="W74" s="25">
        <v>0</v>
      </c>
      <c r="X74" s="25">
        <v>0</v>
      </c>
      <c r="Y74" s="25">
        <f>2.25-0.1</f>
        <v>2.15</v>
      </c>
      <c r="Z74" s="3">
        <f t="shared" si="17"/>
        <v>2.1</v>
      </c>
      <c r="AA74" s="3">
        <f t="shared" si="18"/>
        <v>0.30000000000000004</v>
      </c>
      <c r="AB74" s="3">
        <f t="shared" si="19"/>
        <v>0</v>
      </c>
      <c r="AC74" s="3">
        <f t="shared" si="20"/>
        <v>0.28000000000000003</v>
      </c>
      <c r="AD74" s="3">
        <f t="shared" si="21"/>
        <v>1.2</v>
      </c>
      <c r="AE74" s="3">
        <f t="shared" si="22"/>
        <v>3.9600000000000009</v>
      </c>
    </row>
    <row r="75" spans="1:32" x14ac:dyDescent="0.3">
      <c r="A75" s="8"/>
      <c r="D75" s="6"/>
      <c r="F75" t="s">
        <v>75</v>
      </c>
      <c r="G75" s="42">
        <f>SUM(G67:G74)</f>
        <v>259.45500000000004</v>
      </c>
      <c r="H75" s="42">
        <f t="shared" ref="H75:Y75" si="24">SUM(H67:H74)</f>
        <v>17.86</v>
      </c>
      <c r="I75" s="42">
        <f t="shared" si="24"/>
        <v>8.6125000000000007</v>
      </c>
      <c r="J75" s="42">
        <f t="shared" si="24"/>
        <v>3.5524999999999993</v>
      </c>
      <c r="K75" s="42">
        <f t="shared" si="24"/>
        <v>0</v>
      </c>
      <c r="L75" s="42">
        <f t="shared" si="24"/>
        <v>1.9600000000000002</v>
      </c>
      <c r="M75" s="42">
        <f t="shared" si="24"/>
        <v>8.93</v>
      </c>
      <c r="N75" s="42">
        <f t="shared" si="24"/>
        <v>0</v>
      </c>
      <c r="O75" s="42">
        <f t="shared" si="24"/>
        <v>3.9499999999999997</v>
      </c>
      <c r="P75" s="42">
        <f t="shared" si="24"/>
        <v>1.3199999999999998</v>
      </c>
      <c r="Q75" s="42">
        <f t="shared" si="24"/>
        <v>20.919999999999998</v>
      </c>
      <c r="R75" s="42">
        <f t="shared" si="24"/>
        <v>2.33</v>
      </c>
      <c r="S75" s="42">
        <f t="shared" si="24"/>
        <v>3.53</v>
      </c>
      <c r="T75" s="42">
        <f t="shared" si="24"/>
        <v>17.100000000000001</v>
      </c>
      <c r="U75" s="42">
        <f t="shared" si="24"/>
        <v>7.9399999999999995</v>
      </c>
      <c r="V75" s="42">
        <f t="shared" si="24"/>
        <v>0</v>
      </c>
      <c r="W75" s="42">
        <f t="shared" si="24"/>
        <v>4.5</v>
      </c>
      <c r="X75" s="42">
        <f t="shared" si="24"/>
        <v>0</v>
      </c>
      <c r="Y75" s="42">
        <f t="shared" si="24"/>
        <v>156.95000000000002</v>
      </c>
      <c r="Z75" s="3">
        <f t="shared" si="17"/>
        <v>12.164999999999999</v>
      </c>
      <c r="AA75" s="3">
        <f t="shared" si="18"/>
        <v>10.89</v>
      </c>
      <c r="AB75" s="3">
        <f t="shared" si="19"/>
        <v>5.27</v>
      </c>
      <c r="AC75" s="3">
        <f t="shared" si="20"/>
        <v>5.8599999999999994</v>
      </c>
      <c r="AD75" s="3">
        <f t="shared" si="21"/>
        <v>25.04</v>
      </c>
      <c r="AE75" s="3">
        <f t="shared" si="22"/>
        <v>77.085000000000008</v>
      </c>
    </row>
    <row r="76" spans="1:32" x14ac:dyDescent="0.3">
      <c r="A76" s="8"/>
      <c r="D76" s="6"/>
      <c r="F76" t="s">
        <v>73</v>
      </c>
      <c r="G76" s="42">
        <f>SUMIF($E$67:$E$74,1,G67:G74)</f>
        <v>132.55500000000001</v>
      </c>
      <c r="H76" s="42">
        <f t="shared" ref="H76:Y76" si="25">SUMIF($E$67:$E$74,1,H67:H74)</f>
        <v>11.16</v>
      </c>
      <c r="I76" s="42">
        <f t="shared" si="25"/>
        <v>1.9125000000000001</v>
      </c>
      <c r="J76" s="42">
        <f t="shared" si="25"/>
        <v>0.79250000000000009</v>
      </c>
      <c r="K76" s="42">
        <f t="shared" si="25"/>
        <v>0</v>
      </c>
      <c r="L76" s="42">
        <f t="shared" si="25"/>
        <v>1.24</v>
      </c>
      <c r="M76" s="42">
        <f t="shared" si="25"/>
        <v>4.9399999999999995</v>
      </c>
      <c r="N76" s="42">
        <f t="shared" si="25"/>
        <v>0</v>
      </c>
      <c r="O76" s="42">
        <f t="shared" si="25"/>
        <v>2.15</v>
      </c>
      <c r="P76" s="42">
        <f t="shared" si="25"/>
        <v>0</v>
      </c>
      <c r="Q76" s="42">
        <f t="shared" si="25"/>
        <v>9.120000000000001</v>
      </c>
      <c r="R76" s="42">
        <f t="shared" si="25"/>
        <v>0.9900000000000001</v>
      </c>
      <c r="S76" s="42">
        <f t="shared" si="25"/>
        <v>3.53</v>
      </c>
      <c r="T76" s="42">
        <f t="shared" si="25"/>
        <v>7.4700000000000006</v>
      </c>
      <c r="U76" s="42">
        <f t="shared" si="25"/>
        <v>2.5499999999999998</v>
      </c>
      <c r="V76" s="42">
        <f t="shared" si="25"/>
        <v>0</v>
      </c>
      <c r="W76" s="42">
        <f t="shared" si="25"/>
        <v>3</v>
      </c>
      <c r="X76" s="42">
        <f t="shared" si="25"/>
        <v>0</v>
      </c>
      <c r="Y76" s="42">
        <f t="shared" si="25"/>
        <v>83.7</v>
      </c>
      <c r="Z76" s="3">
        <f t="shared" si="17"/>
        <v>2.7050000000000001</v>
      </c>
      <c r="AA76" s="3">
        <f t="shared" si="18"/>
        <v>6.18</v>
      </c>
      <c r="AB76" s="3">
        <f t="shared" si="19"/>
        <v>2.15</v>
      </c>
      <c r="AC76" s="3">
        <f t="shared" si="20"/>
        <v>4.5199999999999996</v>
      </c>
      <c r="AD76" s="3">
        <f t="shared" si="21"/>
        <v>10.02</v>
      </c>
      <c r="AE76" s="3">
        <f t="shared" si="22"/>
        <v>36.734999999999999</v>
      </c>
    </row>
    <row r="77" spans="1:32" x14ac:dyDescent="0.3">
      <c r="A77" s="8"/>
      <c r="D77" s="6"/>
      <c r="F77" t="s">
        <v>74</v>
      </c>
      <c r="G77" s="42">
        <f>SUMIF($E$67:$E$74,2,G67:G74)</f>
        <v>126.90000000000002</v>
      </c>
      <c r="H77" s="42">
        <f t="shared" ref="H77:Y77" si="26">SUMIF($E$67:$E$74,2,H67:H74)</f>
        <v>6.7</v>
      </c>
      <c r="I77" s="42">
        <f t="shared" si="26"/>
        <v>6.7</v>
      </c>
      <c r="J77" s="42">
        <f t="shared" si="26"/>
        <v>2.76</v>
      </c>
      <c r="K77" s="42">
        <f t="shared" si="26"/>
        <v>0</v>
      </c>
      <c r="L77" s="42">
        <f t="shared" si="26"/>
        <v>0.72000000000000008</v>
      </c>
      <c r="M77" s="42">
        <f t="shared" si="26"/>
        <v>3.9899999999999998</v>
      </c>
      <c r="N77" s="42">
        <f t="shared" si="26"/>
        <v>0</v>
      </c>
      <c r="O77" s="42">
        <f t="shared" si="26"/>
        <v>1.7999999999999998</v>
      </c>
      <c r="P77" s="42">
        <f t="shared" si="26"/>
        <v>1.3199999999999998</v>
      </c>
      <c r="Q77" s="42">
        <f t="shared" si="26"/>
        <v>11.799999999999999</v>
      </c>
      <c r="R77" s="42">
        <f t="shared" si="26"/>
        <v>1.34</v>
      </c>
      <c r="S77" s="42">
        <f t="shared" si="26"/>
        <v>0</v>
      </c>
      <c r="T77" s="42">
        <f t="shared" si="26"/>
        <v>9.6300000000000008</v>
      </c>
      <c r="U77" s="42">
        <f t="shared" si="26"/>
        <v>5.39</v>
      </c>
      <c r="V77" s="42">
        <f t="shared" si="26"/>
        <v>0</v>
      </c>
      <c r="W77" s="42">
        <f t="shared" si="26"/>
        <v>1.5</v>
      </c>
      <c r="X77" s="42">
        <f t="shared" si="26"/>
        <v>0</v>
      </c>
      <c r="Y77" s="42">
        <f t="shared" si="26"/>
        <v>73.250000000000014</v>
      </c>
      <c r="Z77" s="3">
        <f t="shared" si="17"/>
        <v>9.4600000000000009</v>
      </c>
      <c r="AA77" s="3">
        <f t="shared" si="18"/>
        <v>4.71</v>
      </c>
      <c r="AB77" s="3">
        <f t="shared" si="19"/>
        <v>3.1199999999999997</v>
      </c>
      <c r="AC77" s="3">
        <f t="shared" si="20"/>
        <v>1.34</v>
      </c>
      <c r="AD77" s="3">
        <f t="shared" si="21"/>
        <v>15.02</v>
      </c>
      <c r="AE77" s="3">
        <f t="shared" si="22"/>
        <v>40.350000000000009</v>
      </c>
    </row>
    <row r="78" spans="1:32" x14ac:dyDescent="0.3">
      <c r="A78" s="8"/>
      <c r="D78" s="6"/>
      <c r="G78" s="3"/>
      <c r="H78" s="3"/>
      <c r="I78" s="3"/>
      <c r="J78" s="3"/>
      <c r="K78" s="3"/>
      <c r="L78" s="3"/>
      <c r="M78" s="3"/>
      <c r="N78" s="3"/>
      <c r="O78" s="3"/>
      <c r="P78" s="3"/>
      <c r="Q78" s="3"/>
      <c r="R78" s="3"/>
      <c r="S78" s="3"/>
      <c r="T78" s="3"/>
      <c r="U78" s="3"/>
      <c r="V78" s="3"/>
      <c r="W78" s="3"/>
      <c r="X78" s="3"/>
      <c r="Y78" s="3"/>
      <c r="Z78" s="3">
        <f t="shared" si="17"/>
        <v>0</v>
      </c>
      <c r="AA78" s="3">
        <f t="shared" si="18"/>
        <v>0</v>
      </c>
      <c r="AB78" s="3">
        <f t="shared" si="19"/>
        <v>0</v>
      </c>
      <c r="AC78" s="3">
        <f t="shared" si="20"/>
        <v>0</v>
      </c>
      <c r="AD78" s="3">
        <f t="shared" si="21"/>
        <v>0</v>
      </c>
      <c r="AE78" s="3">
        <f t="shared" si="22"/>
        <v>0</v>
      </c>
    </row>
    <row r="79" spans="1:32" x14ac:dyDescent="0.3">
      <c r="A79" s="155" t="s">
        <v>66</v>
      </c>
      <c r="B79">
        <v>5</v>
      </c>
      <c r="C79" s="11">
        <v>44194</v>
      </c>
      <c r="D79" s="6">
        <v>3</v>
      </c>
      <c r="E79">
        <v>1</v>
      </c>
      <c r="F79">
        <v>1</v>
      </c>
      <c r="G79" s="3">
        <f t="shared" si="0"/>
        <v>85.269999999999982</v>
      </c>
      <c r="H79" s="3">
        <f>5.2-0.6</f>
        <v>4.6000000000000005</v>
      </c>
      <c r="I79" s="3">
        <f>1.4-0.6</f>
        <v>0.79999999999999993</v>
      </c>
      <c r="J79" s="3">
        <f>1.3-0.7</f>
        <v>0.60000000000000009</v>
      </c>
      <c r="K79" s="3">
        <v>0</v>
      </c>
      <c r="L79" s="3">
        <f>1.25-0.6</f>
        <v>0.65</v>
      </c>
      <c r="M79" s="3">
        <f>0.62+0.7-0.6-0.5</f>
        <v>0.21999999999999986</v>
      </c>
      <c r="N79" s="3">
        <v>0</v>
      </c>
      <c r="O79" s="3">
        <f>1.4-0.6</f>
        <v>0.79999999999999993</v>
      </c>
      <c r="P79" s="3">
        <v>0</v>
      </c>
      <c r="Q79" s="3">
        <f>2.4-0.6</f>
        <v>1.7999999999999998</v>
      </c>
      <c r="R79" s="3">
        <v>0</v>
      </c>
      <c r="S79" s="3">
        <f>3.8-0.6</f>
        <v>3.1999999999999997</v>
      </c>
      <c r="T79" s="3">
        <f>1.8+5+4.6+1.2</f>
        <v>12.599999999999998</v>
      </c>
      <c r="U79" s="3">
        <f>1.9-0.8</f>
        <v>1.0999999999999999</v>
      </c>
      <c r="V79" s="3">
        <v>0</v>
      </c>
      <c r="W79" s="3">
        <v>0</v>
      </c>
      <c r="X79" s="3">
        <v>0</v>
      </c>
      <c r="Y79" s="3">
        <f>45+18.3+12-5.4-4.9-6.1</f>
        <v>58.899999999999984</v>
      </c>
      <c r="Z79" s="3">
        <f t="shared" si="17"/>
        <v>1.4</v>
      </c>
      <c r="AA79" s="3">
        <f t="shared" si="18"/>
        <v>0.86999999999999988</v>
      </c>
      <c r="AB79" s="3">
        <f t="shared" si="19"/>
        <v>0.79999999999999993</v>
      </c>
      <c r="AC79" s="3">
        <f t="shared" si="20"/>
        <v>3.1999999999999997</v>
      </c>
      <c r="AD79" s="3">
        <f t="shared" si="21"/>
        <v>13.699999999999998</v>
      </c>
      <c r="AE79" s="3">
        <f t="shared" si="22"/>
        <v>24.57</v>
      </c>
    </row>
    <row r="80" spans="1:32" x14ac:dyDescent="0.3">
      <c r="A80" s="155"/>
      <c r="B80">
        <v>5</v>
      </c>
      <c r="C80" s="11">
        <v>44194</v>
      </c>
      <c r="D80" s="6">
        <v>3</v>
      </c>
      <c r="E80">
        <v>2</v>
      </c>
      <c r="F80">
        <v>1</v>
      </c>
      <c r="G80" s="3">
        <f t="shared" si="0"/>
        <v>120.88</v>
      </c>
      <c r="H80" s="3">
        <f>4.35-0.7</f>
        <v>3.6499999999999995</v>
      </c>
      <c r="I80" s="3">
        <f>2.1+1.8-0.5-0.32</f>
        <v>3.0800000000000005</v>
      </c>
      <c r="J80" s="3">
        <f>1.7+0.56-0.44</f>
        <v>1.8199999999999998</v>
      </c>
      <c r="K80" s="3">
        <f>0.44+1.22</f>
        <v>1.66</v>
      </c>
      <c r="L80" s="3">
        <f>1.22-0.44</f>
        <v>0.78</v>
      </c>
      <c r="M80" s="3">
        <f>5.35-0.6</f>
        <v>4.75</v>
      </c>
      <c r="N80" s="3">
        <v>0</v>
      </c>
      <c r="O80" s="3">
        <f>1.76+0.86</f>
        <v>2.62</v>
      </c>
      <c r="P80" s="3">
        <v>0</v>
      </c>
      <c r="Q80" s="3">
        <f>9.8-0.7</f>
        <v>9.1000000000000014</v>
      </c>
      <c r="R80" s="3">
        <f>0.74-0.26</f>
        <v>0.48</v>
      </c>
      <c r="S80" s="3">
        <f>3.45</f>
        <v>3.45</v>
      </c>
      <c r="T80" s="3">
        <v>4</v>
      </c>
      <c r="U80" s="3">
        <f>2-0.46</f>
        <v>1.54</v>
      </c>
      <c r="V80" s="3">
        <v>0</v>
      </c>
      <c r="W80" s="3">
        <f>4.2+1.4+7.6+2.4+1.2</f>
        <v>16.8</v>
      </c>
      <c r="X80" s="3">
        <v>0</v>
      </c>
      <c r="Y80" s="3">
        <f>38+40.6-5.25-6.2</f>
        <v>67.149999999999991</v>
      </c>
      <c r="Z80" s="3">
        <f t="shared" si="17"/>
        <v>6.5600000000000005</v>
      </c>
      <c r="AA80" s="3">
        <f t="shared" si="18"/>
        <v>5.53</v>
      </c>
      <c r="AB80" s="3">
        <f t="shared" si="19"/>
        <v>2.62</v>
      </c>
      <c r="AC80" s="3">
        <f t="shared" si="20"/>
        <v>3.93</v>
      </c>
      <c r="AD80" s="3">
        <f t="shared" si="21"/>
        <v>5.54</v>
      </c>
      <c r="AE80" s="3">
        <f t="shared" si="22"/>
        <v>27.83</v>
      </c>
      <c r="AF80" t="s">
        <v>56</v>
      </c>
    </row>
    <row r="81" spans="1:33" x14ac:dyDescent="0.3">
      <c r="A81" s="155"/>
      <c r="B81">
        <v>1</v>
      </c>
      <c r="C81" s="11">
        <v>44194</v>
      </c>
      <c r="D81" s="6">
        <v>3</v>
      </c>
      <c r="E81">
        <v>1</v>
      </c>
      <c r="F81">
        <v>1</v>
      </c>
      <c r="G81" s="3">
        <f t="shared" si="0"/>
        <v>4.9999999999999991</v>
      </c>
      <c r="H81" s="3">
        <v>0</v>
      </c>
      <c r="I81" s="3">
        <v>0</v>
      </c>
      <c r="J81" s="3">
        <v>0</v>
      </c>
      <c r="K81" s="3">
        <v>0</v>
      </c>
      <c r="L81" s="3">
        <f>4.1-0.1</f>
        <v>3.9999999999999996</v>
      </c>
      <c r="M81" s="3">
        <v>0.9</v>
      </c>
      <c r="N81" s="3">
        <v>0</v>
      </c>
      <c r="O81" s="3">
        <v>0</v>
      </c>
      <c r="P81" s="3">
        <v>0</v>
      </c>
      <c r="Q81" s="3">
        <v>0</v>
      </c>
      <c r="R81" s="3">
        <v>0</v>
      </c>
      <c r="S81" s="3">
        <v>0</v>
      </c>
      <c r="T81" s="3">
        <v>0.1</v>
      </c>
      <c r="U81" s="3">
        <v>0</v>
      </c>
      <c r="V81" s="3">
        <v>0</v>
      </c>
      <c r="W81" s="3">
        <v>0</v>
      </c>
      <c r="X81" s="3">
        <v>0</v>
      </c>
      <c r="Y81" s="3">
        <v>0</v>
      </c>
      <c r="Z81" s="3">
        <f t="shared" si="17"/>
        <v>0</v>
      </c>
      <c r="AA81" s="3">
        <f t="shared" si="18"/>
        <v>4.8999999999999995</v>
      </c>
      <c r="AB81" s="3">
        <f t="shared" si="19"/>
        <v>0</v>
      </c>
      <c r="AC81" s="3">
        <f t="shared" si="20"/>
        <v>0</v>
      </c>
      <c r="AD81" s="3">
        <f t="shared" si="21"/>
        <v>0.1</v>
      </c>
      <c r="AE81" s="3">
        <f t="shared" si="22"/>
        <v>4.9999999999999991</v>
      </c>
    </row>
    <row r="82" spans="1:33" x14ac:dyDescent="0.3">
      <c r="A82" s="155"/>
      <c r="B82">
        <v>1</v>
      </c>
      <c r="C82" s="11">
        <v>44194</v>
      </c>
      <c r="D82" s="6">
        <v>3</v>
      </c>
      <c r="E82">
        <v>2</v>
      </c>
      <c r="F82">
        <v>1</v>
      </c>
      <c r="G82" s="3">
        <f t="shared" si="0"/>
        <v>4.43</v>
      </c>
      <c r="H82" s="3">
        <v>0</v>
      </c>
      <c r="I82" s="3">
        <v>0</v>
      </c>
      <c r="J82" s="3">
        <v>0</v>
      </c>
      <c r="K82" s="3">
        <v>0</v>
      </c>
      <c r="L82" s="3">
        <v>0.05</v>
      </c>
      <c r="M82" s="3">
        <f>0.7-0.28</f>
        <v>0.41999999999999993</v>
      </c>
      <c r="N82" s="3">
        <v>0</v>
      </c>
      <c r="O82" s="3">
        <v>0</v>
      </c>
      <c r="P82" s="3">
        <v>0</v>
      </c>
      <c r="Q82" s="3">
        <v>0</v>
      </c>
      <c r="R82" s="3">
        <v>0</v>
      </c>
      <c r="S82" s="3">
        <v>0</v>
      </c>
      <c r="T82" s="3">
        <v>0.04</v>
      </c>
      <c r="U82" s="3">
        <v>0</v>
      </c>
      <c r="V82" s="3">
        <v>0</v>
      </c>
      <c r="W82" s="3">
        <v>0</v>
      </c>
      <c r="X82" s="3">
        <v>0</v>
      </c>
      <c r="Y82" s="3">
        <f>4.34-0.42</f>
        <v>3.92</v>
      </c>
      <c r="Z82" s="3">
        <f t="shared" si="17"/>
        <v>0</v>
      </c>
      <c r="AA82" s="3">
        <f t="shared" si="18"/>
        <v>0.46999999999999992</v>
      </c>
      <c r="AB82" s="3">
        <f t="shared" si="19"/>
        <v>0</v>
      </c>
      <c r="AC82" s="3">
        <f t="shared" si="20"/>
        <v>0</v>
      </c>
      <c r="AD82" s="3">
        <f t="shared" si="21"/>
        <v>0.04</v>
      </c>
      <c r="AE82" s="3">
        <f t="shared" si="22"/>
        <v>0.5099999999999999</v>
      </c>
    </row>
    <row r="83" spans="1:33" x14ac:dyDescent="0.3">
      <c r="A83" s="155"/>
      <c r="B83">
        <v>2</v>
      </c>
      <c r="C83" s="11">
        <v>44194</v>
      </c>
      <c r="D83" s="6">
        <v>3</v>
      </c>
      <c r="E83">
        <v>1</v>
      </c>
      <c r="F83">
        <v>1</v>
      </c>
      <c r="G83" s="3">
        <f t="shared" si="0"/>
        <v>22.9</v>
      </c>
      <c r="H83" s="3">
        <v>0</v>
      </c>
      <c r="I83" s="3">
        <f>(3.7-0.1)/2</f>
        <v>1.8</v>
      </c>
      <c r="J83" s="3">
        <f>(3.7-0.1)/2</f>
        <v>1.8</v>
      </c>
      <c r="K83" s="3">
        <v>0</v>
      </c>
      <c r="L83" s="3">
        <v>0</v>
      </c>
      <c r="M83" s="3">
        <v>0</v>
      </c>
      <c r="N83" s="3">
        <v>0</v>
      </c>
      <c r="O83" s="3">
        <f>1.6/2</f>
        <v>0.8</v>
      </c>
      <c r="P83" s="3">
        <f>1.6/2</f>
        <v>0.8</v>
      </c>
      <c r="Q83" s="3">
        <v>0</v>
      </c>
      <c r="R83" s="3">
        <v>0</v>
      </c>
      <c r="S83" s="3">
        <v>0</v>
      </c>
      <c r="T83" s="3">
        <f>(1.3-0.1)/2</f>
        <v>0.6</v>
      </c>
      <c r="U83" s="3">
        <f>(1.3-0.1)/2</f>
        <v>0.6</v>
      </c>
      <c r="V83" s="3">
        <v>0</v>
      </c>
      <c r="W83" s="3">
        <v>0</v>
      </c>
      <c r="X83" s="3">
        <v>0</v>
      </c>
      <c r="Y83" s="3">
        <v>16.5</v>
      </c>
      <c r="Z83" s="3">
        <f t="shared" si="17"/>
        <v>3.6</v>
      </c>
      <c r="AA83" s="3">
        <f t="shared" si="18"/>
        <v>0</v>
      </c>
      <c r="AB83" s="3">
        <f t="shared" si="19"/>
        <v>1.6</v>
      </c>
      <c r="AC83" s="3">
        <f t="shared" si="20"/>
        <v>0</v>
      </c>
      <c r="AD83" s="3">
        <f t="shared" si="21"/>
        <v>1.2</v>
      </c>
      <c r="AE83" s="3">
        <f t="shared" si="22"/>
        <v>6.4</v>
      </c>
      <c r="AF83" t="s">
        <v>57</v>
      </c>
    </row>
    <row r="84" spans="1:33" x14ac:dyDescent="0.3">
      <c r="A84" s="155"/>
      <c r="B84">
        <v>2</v>
      </c>
      <c r="C84" s="11">
        <v>44194</v>
      </c>
      <c r="D84" s="6">
        <v>3</v>
      </c>
      <c r="E84">
        <v>2</v>
      </c>
      <c r="F84">
        <v>1</v>
      </c>
      <c r="G84" s="3">
        <f t="shared" si="0"/>
        <v>0</v>
      </c>
      <c r="H84" s="3">
        <v>0</v>
      </c>
      <c r="I84" s="3">
        <v>0</v>
      </c>
      <c r="J84" s="3">
        <v>0</v>
      </c>
      <c r="K84" s="3">
        <v>0</v>
      </c>
      <c r="L84" s="3">
        <v>0</v>
      </c>
      <c r="M84" s="3">
        <v>0</v>
      </c>
      <c r="N84" s="3">
        <v>0</v>
      </c>
      <c r="O84" s="3">
        <v>0</v>
      </c>
      <c r="P84" s="3">
        <v>0</v>
      </c>
      <c r="Q84" s="3">
        <v>0</v>
      </c>
      <c r="R84" s="3">
        <v>0</v>
      </c>
      <c r="S84" s="3">
        <v>0</v>
      </c>
      <c r="T84" s="3">
        <v>0</v>
      </c>
      <c r="U84" s="3">
        <v>0</v>
      </c>
      <c r="V84" s="3">
        <v>0</v>
      </c>
      <c r="W84" s="3">
        <v>0</v>
      </c>
      <c r="X84" s="3">
        <v>0</v>
      </c>
      <c r="Y84" s="3">
        <v>0</v>
      </c>
      <c r="Z84" s="3">
        <f t="shared" si="17"/>
        <v>0</v>
      </c>
      <c r="AA84" s="3">
        <f t="shared" si="18"/>
        <v>0</v>
      </c>
      <c r="AB84" s="3">
        <f t="shared" si="19"/>
        <v>0</v>
      </c>
      <c r="AC84" s="3">
        <f t="shared" si="20"/>
        <v>0</v>
      </c>
      <c r="AD84" s="3">
        <f t="shared" si="21"/>
        <v>0</v>
      </c>
      <c r="AE84" s="3">
        <f t="shared" si="22"/>
        <v>0</v>
      </c>
    </row>
    <row r="85" spans="1:33" x14ac:dyDescent="0.3">
      <c r="A85" s="155"/>
      <c r="B85">
        <v>3</v>
      </c>
      <c r="C85" s="11">
        <v>44194</v>
      </c>
      <c r="D85" s="6">
        <v>3</v>
      </c>
      <c r="E85">
        <v>1</v>
      </c>
      <c r="F85">
        <v>1</v>
      </c>
      <c r="G85" s="3">
        <f t="shared" si="0"/>
        <v>0.8</v>
      </c>
      <c r="H85" s="3">
        <v>0.2</v>
      </c>
      <c r="I85" s="3">
        <f>(0.18+0.16)/2</f>
        <v>0.16999999999999998</v>
      </c>
      <c r="J85" s="3">
        <f>(0.18+0.16)/2</f>
        <v>0.16999999999999998</v>
      </c>
      <c r="K85" s="3">
        <v>0</v>
      </c>
      <c r="L85" s="3">
        <v>0</v>
      </c>
      <c r="M85" s="3">
        <v>0.1</v>
      </c>
      <c r="N85" s="3">
        <v>0</v>
      </c>
      <c r="O85" s="3">
        <v>0</v>
      </c>
      <c r="P85" s="3">
        <v>0</v>
      </c>
      <c r="Q85" s="3">
        <v>0</v>
      </c>
      <c r="R85" s="3">
        <v>0.1</v>
      </c>
      <c r="S85" s="3">
        <v>0</v>
      </c>
      <c r="T85" s="3">
        <v>0</v>
      </c>
      <c r="U85" s="3">
        <v>0.06</v>
      </c>
      <c r="V85" s="3">
        <v>0</v>
      </c>
      <c r="W85" s="3">
        <v>0</v>
      </c>
      <c r="X85" s="3">
        <v>0</v>
      </c>
      <c r="Y85" s="3">
        <v>0</v>
      </c>
      <c r="Z85" s="3">
        <f t="shared" si="17"/>
        <v>0.33999999999999997</v>
      </c>
      <c r="AA85" s="3">
        <f t="shared" si="18"/>
        <v>0.1</v>
      </c>
      <c r="AB85" s="3">
        <f t="shared" si="19"/>
        <v>0</v>
      </c>
      <c r="AC85" s="3">
        <f t="shared" si="20"/>
        <v>0.1</v>
      </c>
      <c r="AD85" s="3">
        <f t="shared" si="21"/>
        <v>0.06</v>
      </c>
      <c r="AE85" s="3">
        <f t="shared" si="22"/>
        <v>0.79999999999999982</v>
      </c>
      <c r="AF85" t="s">
        <v>58</v>
      </c>
    </row>
    <row r="86" spans="1:33" x14ac:dyDescent="0.3">
      <c r="A86" s="155"/>
      <c r="B86">
        <v>3</v>
      </c>
      <c r="C86" s="11">
        <v>44194</v>
      </c>
      <c r="D86" s="6">
        <v>3</v>
      </c>
      <c r="E86">
        <v>2</v>
      </c>
      <c r="F86">
        <v>1</v>
      </c>
      <c r="G86" s="3">
        <f t="shared" si="0"/>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f t="shared" si="17"/>
        <v>0</v>
      </c>
      <c r="AA86" s="3">
        <f t="shared" si="18"/>
        <v>0</v>
      </c>
      <c r="AB86" s="3">
        <f t="shared" si="19"/>
        <v>0</v>
      </c>
      <c r="AC86" s="3">
        <f t="shared" si="20"/>
        <v>0</v>
      </c>
      <c r="AD86" s="3">
        <f t="shared" si="21"/>
        <v>0</v>
      </c>
      <c r="AE86" s="3">
        <f t="shared" si="22"/>
        <v>0</v>
      </c>
    </row>
    <row r="87" spans="1:33" x14ac:dyDescent="0.3">
      <c r="A87" s="155"/>
      <c r="B87">
        <v>4</v>
      </c>
      <c r="C87" s="11">
        <v>44194</v>
      </c>
      <c r="D87" s="6">
        <v>3</v>
      </c>
      <c r="E87">
        <v>1</v>
      </c>
      <c r="F87">
        <v>1</v>
      </c>
      <c r="G87" s="3">
        <f t="shared" si="0"/>
        <v>0.90000000000000013</v>
      </c>
      <c r="H87" s="3">
        <v>0.1</v>
      </c>
      <c r="I87" s="3">
        <f>0.4/2</f>
        <v>0.2</v>
      </c>
      <c r="J87" s="3">
        <f>0.4/2</f>
        <v>0.2</v>
      </c>
      <c r="K87" s="3">
        <v>0</v>
      </c>
      <c r="L87" s="3">
        <v>0</v>
      </c>
      <c r="M87" s="3">
        <v>0</v>
      </c>
      <c r="N87" s="3">
        <v>0</v>
      </c>
      <c r="O87" s="3">
        <v>0.1</v>
      </c>
      <c r="P87" s="3">
        <v>0</v>
      </c>
      <c r="Q87" s="3">
        <v>0.2</v>
      </c>
      <c r="R87" s="3">
        <v>0.05</v>
      </c>
      <c r="S87" s="3">
        <v>0</v>
      </c>
      <c r="T87" s="3">
        <v>0</v>
      </c>
      <c r="U87" s="3">
        <v>0.05</v>
      </c>
      <c r="V87" s="3">
        <v>0</v>
      </c>
      <c r="W87" s="3">
        <v>0</v>
      </c>
      <c r="X87" s="3">
        <v>0</v>
      </c>
      <c r="Y87" s="3">
        <v>0</v>
      </c>
      <c r="Z87" s="3">
        <f t="shared" si="17"/>
        <v>0.4</v>
      </c>
      <c r="AA87" s="3">
        <f t="shared" si="18"/>
        <v>0</v>
      </c>
      <c r="AB87" s="3">
        <f t="shared" si="19"/>
        <v>0.1</v>
      </c>
      <c r="AC87" s="3">
        <f t="shared" si="20"/>
        <v>0.05</v>
      </c>
      <c r="AD87" s="3">
        <f t="shared" si="21"/>
        <v>0.05</v>
      </c>
      <c r="AE87" s="3">
        <f t="shared" si="22"/>
        <v>0.70000000000000007</v>
      </c>
    </row>
    <row r="88" spans="1:33" x14ac:dyDescent="0.3">
      <c r="A88" s="155"/>
      <c r="B88">
        <v>4</v>
      </c>
      <c r="C88" s="11">
        <v>44194</v>
      </c>
      <c r="D88" s="6">
        <v>3</v>
      </c>
      <c r="E88">
        <v>2</v>
      </c>
      <c r="F88">
        <v>1</v>
      </c>
      <c r="G88" s="3">
        <f t="shared" si="0"/>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f t="shared" si="17"/>
        <v>0</v>
      </c>
      <c r="AA88" s="3">
        <f t="shared" si="18"/>
        <v>0</v>
      </c>
      <c r="AB88" s="3">
        <f t="shared" si="19"/>
        <v>0</v>
      </c>
      <c r="AC88" s="3">
        <f t="shared" si="20"/>
        <v>0</v>
      </c>
      <c r="AD88" s="3">
        <f t="shared" si="21"/>
        <v>0</v>
      </c>
      <c r="AE88" s="3">
        <f t="shared" si="22"/>
        <v>0</v>
      </c>
    </row>
    <row r="89" spans="1:33" x14ac:dyDescent="0.3">
      <c r="A89" s="155"/>
      <c r="B89">
        <v>6</v>
      </c>
      <c r="C89" s="11">
        <v>44194</v>
      </c>
      <c r="D89" s="6">
        <v>3</v>
      </c>
      <c r="E89">
        <v>1</v>
      </c>
      <c r="F89">
        <v>1</v>
      </c>
      <c r="G89" s="3">
        <f t="shared" si="0"/>
        <v>50.13</v>
      </c>
      <c r="H89" s="3">
        <f>4.5-0.7</f>
        <v>3.8</v>
      </c>
      <c r="I89" s="3">
        <f>(0.64+0.85+0.7-0.38-0.3)/2</f>
        <v>0.755</v>
      </c>
      <c r="J89" s="3">
        <f>(0.64+0.85+0.7-0.38-0.3)/2</f>
        <v>0.755</v>
      </c>
      <c r="K89" s="3">
        <v>0</v>
      </c>
      <c r="L89" s="3">
        <f>0.7+0.28</f>
        <v>0.98</v>
      </c>
      <c r="M89" s="3">
        <f>(1.9+5.6-1.4)</f>
        <v>6.1</v>
      </c>
      <c r="N89" s="3">
        <v>0</v>
      </c>
      <c r="O89" s="3">
        <f>0.11</f>
        <v>0.11</v>
      </c>
      <c r="P89" s="3">
        <f>0.2</f>
        <v>0.2</v>
      </c>
      <c r="Q89" s="3">
        <f>3.64-0.1</f>
        <v>3.54</v>
      </c>
      <c r="R89" s="3">
        <f>0.46+0.8</f>
        <v>1.26</v>
      </c>
      <c r="S89" s="3">
        <v>0</v>
      </c>
      <c r="T89" s="3">
        <f>(2.5+5+2.4-0.7-0.7)</f>
        <v>8.5000000000000018</v>
      </c>
      <c r="U89" s="3">
        <f>(0.96+5.7-0.38+5.4)</f>
        <v>11.68</v>
      </c>
      <c r="V89" s="3">
        <v>0</v>
      </c>
      <c r="W89" s="3">
        <v>0</v>
      </c>
      <c r="X89" s="3">
        <v>0</v>
      </c>
      <c r="Y89" s="3">
        <f>9+3.8-0.1-0.25</f>
        <v>12.450000000000001</v>
      </c>
      <c r="Z89" s="3">
        <f t="shared" si="17"/>
        <v>1.51</v>
      </c>
      <c r="AA89" s="3">
        <f t="shared" si="18"/>
        <v>7.08</v>
      </c>
      <c r="AB89" s="3">
        <f t="shared" si="19"/>
        <v>0.31</v>
      </c>
      <c r="AC89" s="3">
        <f t="shared" si="20"/>
        <v>1.26</v>
      </c>
      <c r="AD89" s="3">
        <f t="shared" si="21"/>
        <v>20.18</v>
      </c>
      <c r="AE89" s="3">
        <f t="shared" si="22"/>
        <v>34.14</v>
      </c>
    </row>
    <row r="90" spans="1:33" x14ac:dyDescent="0.3">
      <c r="A90" s="8"/>
      <c r="D90" s="6"/>
      <c r="F90" t="s">
        <v>75</v>
      </c>
      <c r="G90" s="42">
        <f>SUM(G79:G89)</f>
        <v>290.31</v>
      </c>
      <c r="H90" s="42">
        <f t="shared" ref="H90:Y90" si="27">SUM(H79:H89)</f>
        <v>12.349999999999998</v>
      </c>
      <c r="I90" s="42">
        <f t="shared" si="27"/>
        <v>6.8050000000000006</v>
      </c>
      <c r="J90" s="42">
        <f t="shared" si="27"/>
        <v>5.3449999999999998</v>
      </c>
      <c r="K90" s="42">
        <f t="shared" si="27"/>
        <v>1.66</v>
      </c>
      <c r="L90" s="42">
        <f t="shared" si="27"/>
        <v>6.4599999999999991</v>
      </c>
      <c r="M90" s="42">
        <f t="shared" si="27"/>
        <v>12.489999999999998</v>
      </c>
      <c r="N90" s="42">
        <f t="shared" si="27"/>
        <v>0</v>
      </c>
      <c r="O90" s="42">
        <f t="shared" si="27"/>
        <v>4.43</v>
      </c>
      <c r="P90" s="42">
        <f t="shared" si="27"/>
        <v>1</v>
      </c>
      <c r="Q90" s="42">
        <f t="shared" si="27"/>
        <v>14.64</v>
      </c>
      <c r="R90" s="42">
        <f t="shared" si="27"/>
        <v>1.8900000000000001</v>
      </c>
      <c r="S90" s="42">
        <f t="shared" si="27"/>
        <v>6.65</v>
      </c>
      <c r="T90" s="42">
        <f t="shared" si="27"/>
        <v>25.840000000000003</v>
      </c>
      <c r="U90" s="42">
        <f t="shared" si="27"/>
        <v>15.03</v>
      </c>
      <c r="V90" s="42">
        <f t="shared" si="27"/>
        <v>0</v>
      </c>
      <c r="W90" s="42">
        <f t="shared" si="27"/>
        <v>16.8</v>
      </c>
      <c r="X90" s="42">
        <f t="shared" si="27"/>
        <v>0</v>
      </c>
      <c r="Y90" s="42">
        <f t="shared" si="27"/>
        <v>158.91999999999996</v>
      </c>
      <c r="Z90" s="3">
        <f t="shared" si="17"/>
        <v>13.81</v>
      </c>
      <c r="AA90" s="3">
        <f t="shared" si="18"/>
        <v>18.949999999999996</v>
      </c>
      <c r="AB90" s="3">
        <f t="shared" si="19"/>
        <v>5.43</v>
      </c>
      <c r="AC90" s="3">
        <f t="shared" si="20"/>
        <v>8.5400000000000009</v>
      </c>
      <c r="AD90" s="3">
        <f t="shared" si="21"/>
        <v>40.870000000000005</v>
      </c>
      <c r="AE90" s="3">
        <f t="shared" si="22"/>
        <v>99.949999999999989</v>
      </c>
    </row>
    <row r="91" spans="1:33" x14ac:dyDescent="0.3">
      <c r="A91" s="8"/>
      <c r="D91" s="6"/>
      <c r="F91" t="s">
        <v>73</v>
      </c>
      <c r="G91" s="42">
        <f>SUMIF($E$79:$E$89,1,G79:G89)</f>
        <v>165</v>
      </c>
      <c r="H91" s="42">
        <f t="shared" ref="H91:Y91" si="28">SUMIF($E$79:$E$89,1,H79:H89)</f>
        <v>8.6999999999999993</v>
      </c>
      <c r="I91" s="42">
        <f t="shared" si="28"/>
        <v>3.7250000000000001</v>
      </c>
      <c r="J91" s="42">
        <f t="shared" si="28"/>
        <v>3.5250000000000004</v>
      </c>
      <c r="K91" s="42">
        <f t="shared" si="28"/>
        <v>0</v>
      </c>
      <c r="L91" s="42">
        <f t="shared" si="28"/>
        <v>5.629999999999999</v>
      </c>
      <c r="M91" s="42">
        <f t="shared" si="28"/>
        <v>7.3199999999999994</v>
      </c>
      <c r="N91" s="42">
        <f t="shared" si="28"/>
        <v>0</v>
      </c>
      <c r="O91" s="42">
        <f t="shared" si="28"/>
        <v>1.8100000000000003</v>
      </c>
      <c r="P91" s="42">
        <f t="shared" si="28"/>
        <v>1</v>
      </c>
      <c r="Q91" s="42">
        <f t="shared" si="28"/>
        <v>5.54</v>
      </c>
      <c r="R91" s="42">
        <f t="shared" si="28"/>
        <v>1.4100000000000001</v>
      </c>
      <c r="S91" s="42">
        <f t="shared" si="28"/>
        <v>3.1999999999999997</v>
      </c>
      <c r="T91" s="42">
        <f t="shared" si="28"/>
        <v>21.799999999999997</v>
      </c>
      <c r="U91" s="42">
        <f t="shared" si="28"/>
        <v>13.49</v>
      </c>
      <c r="V91" s="42">
        <f t="shared" si="28"/>
        <v>0</v>
      </c>
      <c r="W91" s="42">
        <f t="shared" si="28"/>
        <v>0</v>
      </c>
      <c r="X91" s="42">
        <f t="shared" si="28"/>
        <v>0</v>
      </c>
      <c r="Y91" s="42">
        <f t="shared" si="28"/>
        <v>87.84999999999998</v>
      </c>
      <c r="Z91" s="3">
        <f t="shared" si="17"/>
        <v>7.25</v>
      </c>
      <c r="AA91" s="3">
        <f t="shared" si="18"/>
        <v>12.95</v>
      </c>
      <c r="AB91" s="3">
        <f t="shared" si="19"/>
        <v>2.8100000000000005</v>
      </c>
      <c r="AC91" s="3">
        <f t="shared" si="20"/>
        <v>4.6099999999999994</v>
      </c>
      <c r="AD91" s="3">
        <f t="shared" si="21"/>
        <v>35.29</v>
      </c>
      <c r="AE91" s="3">
        <f t="shared" si="22"/>
        <v>71.61</v>
      </c>
    </row>
    <row r="92" spans="1:33" x14ac:dyDescent="0.3">
      <c r="A92" s="8"/>
      <c r="D92" s="6"/>
      <c r="F92" t="s">
        <v>74</v>
      </c>
      <c r="G92" s="42">
        <f>SUMIF($E$79:$E$89,2,G79:G89)</f>
        <v>125.31</v>
      </c>
      <c r="H92" s="42">
        <f t="shared" ref="H92:Y92" si="29">SUMIF($E$79:$E$89,2,H79:H89)</f>
        <v>3.6499999999999995</v>
      </c>
      <c r="I92" s="42">
        <f t="shared" si="29"/>
        <v>3.0800000000000005</v>
      </c>
      <c r="J92" s="42">
        <f t="shared" si="29"/>
        <v>1.8199999999999998</v>
      </c>
      <c r="K92" s="42">
        <f t="shared" si="29"/>
        <v>1.66</v>
      </c>
      <c r="L92" s="42">
        <f t="shared" si="29"/>
        <v>0.83000000000000007</v>
      </c>
      <c r="M92" s="42">
        <f t="shared" si="29"/>
        <v>5.17</v>
      </c>
      <c r="N92" s="42">
        <f t="shared" si="29"/>
        <v>0</v>
      </c>
      <c r="O92" s="42">
        <f t="shared" si="29"/>
        <v>2.62</v>
      </c>
      <c r="P92" s="42">
        <f t="shared" si="29"/>
        <v>0</v>
      </c>
      <c r="Q92" s="42">
        <f t="shared" si="29"/>
        <v>9.1000000000000014</v>
      </c>
      <c r="R92" s="42">
        <f t="shared" si="29"/>
        <v>0.48</v>
      </c>
      <c r="S92" s="42">
        <f t="shared" si="29"/>
        <v>3.45</v>
      </c>
      <c r="T92" s="42">
        <f t="shared" si="29"/>
        <v>4.04</v>
      </c>
      <c r="U92" s="42">
        <f t="shared" si="29"/>
        <v>1.54</v>
      </c>
      <c r="V92" s="42">
        <f t="shared" si="29"/>
        <v>0</v>
      </c>
      <c r="W92" s="42">
        <f t="shared" si="29"/>
        <v>16.8</v>
      </c>
      <c r="X92" s="42">
        <f t="shared" si="29"/>
        <v>0</v>
      </c>
      <c r="Y92" s="42">
        <f t="shared" si="29"/>
        <v>71.069999999999993</v>
      </c>
      <c r="Z92" s="3">
        <f t="shared" si="17"/>
        <v>6.5600000000000005</v>
      </c>
      <c r="AA92" s="3">
        <f t="shared" si="18"/>
        <v>6</v>
      </c>
      <c r="AB92" s="3">
        <f t="shared" si="19"/>
        <v>2.62</v>
      </c>
      <c r="AC92" s="3">
        <f t="shared" si="20"/>
        <v>3.93</v>
      </c>
      <c r="AD92" s="3">
        <f t="shared" si="21"/>
        <v>5.58</v>
      </c>
      <c r="AE92" s="3">
        <f t="shared" si="22"/>
        <v>28.339999999999996</v>
      </c>
    </row>
    <row r="93" spans="1:33" x14ac:dyDescent="0.3">
      <c r="A93" s="8"/>
      <c r="D93" s="6"/>
      <c r="G93" s="3"/>
      <c r="H93" s="3"/>
      <c r="I93" s="3"/>
      <c r="J93" s="3"/>
      <c r="K93" s="3"/>
      <c r="L93" s="3"/>
      <c r="M93" s="3"/>
      <c r="N93" s="3"/>
      <c r="O93" s="3"/>
      <c r="P93" s="3"/>
      <c r="Q93" s="3"/>
      <c r="R93" s="3"/>
      <c r="S93" s="3"/>
      <c r="T93" s="3"/>
      <c r="U93" s="3"/>
      <c r="V93" s="3"/>
      <c r="W93" s="3"/>
      <c r="X93" s="3"/>
      <c r="Y93" s="3"/>
      <c r="Z93" s="3">
        <f t="shared" si="17"/>
        <v>0</v>
      </c>
      <c r="AA93" s="3">
        <f t="shared" si="18"/>
        <v>0</v>
      </c>
      <c r="AB93" s="3">
        <f t="shared" si="19"/>
        <v>0</v>
      </c>
      <c r="AC93" s="3">
        <f t="shared" si="20"/>
        <v>0</v>
      </c>
      <c r="AD93" s="3">
        <f t="shared" si="21"/>
        <v>0</v>
      </c>
      <c r="AE93" s="3">
        <f t="shared" si="22"/>
        <v>0</v>
      </c>
    </row>
    <row r="94" spans="1:33" x14ac:dyDescent="0.3">
      <c r="A94" s="155" t="s">
        <v>68</v>
      </c>
      <c r="B94" s="32">
        <v>6</v>
      </c>
      <c r="C94" s="33">
        <v>44197</v>
      </c>
      <c r="D94" s="34">
        <v>6</v>
      </c>
      <c r="E94" s="32">
        <v>1</v>
      </c>
      <c r="F94" s="32">
        <v>2</v>
      </c>
      <c r="G94" s="35">
        <f t="shared" si="0"/>
        <v>5992.875</v>
      </c>
      <c r="H94" s="35">
        <f>((4.25-0.1)*(266.35/36.85))*(135/6)</f>
        <v>674.90993894165547</v>
      </c>
      <c r="I94" s="35">
        <v>0</v>
      </c>
      <c r="J94" s="35">
        <v>0</v>
      </c>
      <c r="K94" s="35">
        <v>0</v>
      </c>
      <c r="L94" s="35">
        <f>((2.15-0.6)*(266.35/36.85))*(135/6)</f>
        <v>252.07479647218452</v>
      </c>
      <c r="M94" s="35">
        <f>(((5.5-0.55)*(266.35/36.85)))*(135/6)</f>
        <v>805.01305970149258</v>
      </c>
      <c r="N94" s="35">
        <v>0</v>
      </c>
      <c r="O94" s="35">
        <v>0</v>
      </c>
      <c r="P94" s="35">
        <v>0</v>
      </c>
      <c r="Q94" s="35">
        <f>((3.5-0.1)*(266.35/36.85))*(135/6)</f>
        <v>552.93826322930806</v>
      </c>
      <c r="R94" s="35">
        <f>((1.1-0.1)*(266.35/36.85))*(135/6)</f>
        <v>162.6289009497965</v>
      </c>
      <c r="S94" s="35">
        <f>((0.1)*(266.35/36.85))*(135/6)</f>
        <v>16.26289009497965</v>
      </c>
      <c r="T94" s="35">
        <v>0</v>
      </c>
      <c r="U94" s="35">
        <v>0</v>
      </c>
      <c r="V94" s="35">
        <v>0</v>
      </c>
      <c r="W94" s="35">
        <f>((0.6)*(266.35/36.85))*(135/6)</f>
        <v>97.57734056987789</v>
      </c>
      <c r="X94" s="35">
        <v>0</v>
      </c>
      <c r="Y94" s="35">
        <f>((21.2-0.1)*(266.35/36.85))*(135/6)</f>
        <v>3431.4698100407054</v>
      </c>
      <c r="Z94" s="3">
        <f t="shared" si="17"/>
        <v>0</v>
      </c>
      <c r="AA94" s="3">
        <f t="shared" si="18"/>
        <v>1057.0878561736772</v>
      </c>
      <c r="AB94" s="3">
        <f t="shared" si="19"/>
        <v>0</v>
      </c>
      <c r="AC94" s="3">
        <f t="shared" si="20"/>
        <v>178.89179104477614</v>
      </c>
      <c r="AD94" s="3">
        <f t="shared" si="21"/>
        <v>0</v>
      </c>
      <c r="AE94" s="3">
        <f t="shared" si="22"/>
        <v>1910.889586160109</v>
      </c>
      <c r="AG94" s="3"/>
    </row>
    <row r="95" spans="1:33" x14ac:dyDescent="0.3">
      <c r="A95" s="155"/>
      <c r="B95" s="32">
        <v>6</v>
      </c>
      <c r="C95" s="33">
        <v>44197</v>
      </c>
      <c r="D95" s="34">
        <v>6</v>
      </c>
      <c r="E95" s="32">
        <v>2</v>
      </c>
      <c r="F95" s="32">
        <v>2</v>
      </c>
      <c r="G95" s="35">
        <f t="shared" si="0"/>
        <v>190.8</v>
      </c>
      <c r="H95" s="35">
        <v>4.55</v>
      </c>
      <c r="I95" s="35">
        <f>0.3-0.1</f>
        <v>0.19999999999999998</v>
      </c>
      <c r="J95" s="35">
        <f>0.4-0.1</f>
        <v>0.30000000000000004</v>
      </c>
      <c r="K95" s="35">
        <v>0</v>
      </c>
      <c r="L95" s="35">
        <f>2.35-0.1</f>
        <v>2.25</v>
      </c>
      <c r="M95" s="35">
        <f>5.9-0.1</f>
        <v>5.8000000000000007</v>
      </c>
      <c r="N95" s="35">
        <v>0</v>
      </c>
      <c r="O95" s="35">
        <f>1.32-0.44</f>
        <v>0.88000000000000012</v>
      </c>
      <c r="P95" s="35">
        <v>0</v>
      </c>
      <c r="Q95" s="35">
        <f>4.55-0.1</f>
        <v>4.45</v>
      </c>
      <c r="R95" s="35">
        <f>1.5-0.1</f>
        <v>1.4</v>
      </c>
      <c r="S95" s="35">
        <v>0</v>
      </c>
      <c r="T95" s="35">
        <f>4.5+2.05-0.1-0.5</f>
        <v>5.95</v>
      </c>
      <c r="U95" s="35">
        <f>0.95-0.1</f>
        <v>0.85</v>
      </c>
      <c r="V95" s="35">
        <v>0</v>
      </c>
      <c r="W95" s="35">
        <v>0</v>
      </c>
      <c r="X95" s="35">
        <v>0</v>
      </c>
      <c r="Y95" s="35">
        <f>57.3+58.7+46.7+38.17-13.6-13.4-4.6-5.1</f>
        <v>164.17000000000002</v>
      </c>
      <c r="Z95" s="3">
        <f t="shared" si="17"/>
        <v>0.5</v>
      </c>
      <c r="AA95" s="3">
        <f t="shared" si="18"/>
        <v>8.0500000000000007</v>
      </c>
      <c r="AB95" s="3">
        <f t="shared" si="19"/>
        <v>0.88000000000000012</v>
      </c>
      <c r="AC95" s="3">
        <f t="shared" si="20"/>
        <v>1.4</v>
      </c>
      <c r="AD95" s="3">
        <f t="shared" si="21"/>
        <v>6.8</v>
      </c>
      <c r="AE95" s="3">
        <f t="shared" si="22"/>
        <v>22.180000000000003</v>
      </c>
      <c r="AG95" s="3"/>
    </row>
    <row r="96" spans="1:33" x14ac:dyDescent="0.3">
      <c r="A96" s="155"/>
      <c r="B96" s="32">
        <v>5</v>
      </c>
      <c r="C96" s="33">
        <v>44197</v>
      </c>
      <c r="D96" s="34">
        <v>6</v>
      </c>
      <c r="E96" s="32">
        <v>1</v>
      </c>
      <c r="F96" s="32">
        <v>2</v>
      </c>
      <c r="G96" s="35">
        <f t="shared" si="0"/>
        <v>140.76999999999998</v>
      </c>
      <c r="H96" s="35">
        <f>5.15-0.1</f>
        <v>5.0500000000000007</v>
      </c>
      <c r="I96" s="35">
        <f>2.74-0.1</f>
        <v>2.64</v>
      </c>
      <c r="J96" s="35">
        <f>1.9-0.1</f>
        <v>1.7999999999999998</v>
      </c>
      <c r="K96" s="35">
        <v>0</v>
      </c>
      <c r="L96" s="35">
        <f>1.12-0.42</f>
        <v>0.70000000000000018</v>
      </c>
      <c r="M96" s="35">
        <f>8.6</f>
        <v>8.6</v>
      </c>
      <c r="N96" s="35">
        <v>0</v>
      </c>
      <c r="O96" s="35">
        <f>2.52-0.5</f>
        <v>2.02</v>
      </c>
      <c r="P96" s="35">
        <v>0</v>
      </c>
      <c r="Q96" s="35">
        <f>9.7-0.1</f>
        <v>9.6</v>
      </c>
      <c r="R96" s="35">
        <f>1.22-0.56</f>
        <v>0.65999999999999992</v>
      </c>
      <c r="S96" s="35">
        <v>0</v>
      </c>
      <c r="T96" s="35">
        <f>3.8-0.44</f>
        <v>3.36</v>
      </c>
      <c r="U96" s="35">
        <f>1.36-0.1</f>
        <v>1.26</v>
      </c>
      <c r="V96" s="35">
        <v>0</v>
      </c>
      <c r="W96" s="35">
        <f>1.18</f>
        <v>1.18</v>
      </c>
      <c r="X96" s="35">
        <v>0</v>
      </c>
      <c r="Y96" s="35">
        <f>37.3+41.4+40.8-5.2-5-5.4</f>
        <v>103.89999999999998</v>
      </c>
      <c r="Z96" s="3">
        <f t="shared" si="17"/>
        <v>4.4399999999999995</v>
      </c>
      <c r="AA96" s="3">
        <f t="shared" si="18"/>
        <v>9.3000000000000007</v>
      </c>
      <c r="AB96" s="3">
        <f t="shared" si="19"/>
        <v>2.02</v>
      </c>
      <c r="AC96" s="3">
        <f t="shared" si="20"/>
        <v>0.65999999999999992</v>
      </c>
      <c r="AD96" s="3">
        <f t="shared" si="21"/>
        <v>4.62</v>
      </c>
      <c r="AE96" s="3">
        <f t="shared" si="22"/>
        <v>26.09</v>
      </c>
    </row>
    <row r="97" spans="3:31" x14ac:dyDescent="0.3">
      <c r="D97" s="6"/>
      <c r="F97" t="s">
        <v>75</v>
      </c>
      <c r="G97" s="42">
        <f>SUM(G94:G96)</f>
        <v>6324.4449999999997</v>
      </c>
      <c r="H97" s="42">
        <f t="shared" ref="H97:Y97" si="30">SUM(H94:H96)</f>
        <v>684.50993894165538</v>
      </c>
      <c r="I97" s="42">
        <f t="shared" si="30"/>
        <v>2.8400000000000003</v>
      </c>
      <c r="J97" s="42">
        <f t="shared" si="30"/>
        <v>2.0999999999999996</v>
      </c>
      <c r="K97" s="42">
        <f t="shared" si="30"/>
        <v>0</v>
      </c>
      <c r="L97" s="42">
        <f t="shared" si="30"/>
        <v>255.02479647218451</v>
      </c>
      <c r="M97" s="42">
        <f t="shared" si="30"/>
        <v>819.41305970149256</v>
      </c>
      <c r="N97" s="42">
        <f t="shared" si="30"/>
        <v>0</v>
      </c>
      <c r="O97" s="42">
        <f t="shared" si="30"/>
        <v>2.9000000000000004</v>
      </c>
      <c r="P97" s="42">
        <f t="shared" si="30"/>
        <v>0</v>
      </c>
      <c r="Q97" s="42">
        <f t="shared" si="30"/>
        <v>566.98826322930813</v>
      </c>
      <c r="R97" s="42">
        <f t="shared" si="30"/>
        <v>164.6889009497965</v>
      </c>
      <c r="S97" s="42">
        <f t="shared" si="30"/>
        <v>16.26289009497965</v>
      </c>
      <c r="T97" s="42">
        <f t="shared" si="30"/>
        <v>9.31</v>
      </c>
      <c r="U97" s="42">
        <f t="shared" si="30"/>
        <v>2.11</v>
      </c>
      <c r="V97" s="42">
        <f t="shared" si="30"/>
        <v>0</v>
      </c>
      <c r="W97" s="42">
        <f t="shared" si="30"/>
        <v>98.757340569877897</v>
      </c>
      <c r="X97" s="42">
        <f t="shared" si="30"/>
        <v>0</v>
      </c>
      <c r="Y97" s="42">
        <f t="shared" si="30"/>
        <v>3699.5398100407056</v>
      </c>
      <c r="Z97" s="3">
        <f t="shared" si="17"/>
        <v>4.9399999999999995</v>
      </c>
      <c r="AA97" s="3">
        <f t="shared" si="18"/>
        <v>1074.4378561736771</v>
      </c>
      <c r="AB97" s="3">
        <f t="shared" si="19"/>
        <v>2.9000000000000004</v>
      </c>
      <c r="AC97" s="3">
        <f t="shared" si="20"/>
        <v>180.95179104477614</v>
      </c>
      <c r="AD97" s="3">
        <f t="shared" si="21"/>
        <v>11.42</v>
      </c>
      <c r="AE97" s="3">
        <f t="shared" si="22"/>
        <v>1959.159586160109</v>
      </c>
    </row>
    <row r="98" spans="3:31" x14ac:dyDescent="0.3">
      <c r="D98" s="6"/>
      <c r="F98" t="s">
        <v>73</v>
      </c>
      <c r="G98" s="42">
        <f>SUMIF($E$94:$E$96,1,G94:G96)</f>
        <v>6133.6450000000004</v>
      </c>
      <c r="H98" s="42">
        <f t="shared" ref="H98:Y98" si="31">SUMIF($E$94:$E$96,1,H94:H96)</f>
        <v>679.95993894165542</v>
      </c>
      <c r="I98" s="42">
        <f t="shared" si="31"/>
        <v>2.64</v>
      </c>
      <c r="J98" s="42">
        <f t="shared" si="31"/>
        <v>1.7999999999999998</v>
      </c>
      <c r="K98" s="42">
        <f t="shared" si="31"/>
        <v>0</v>
      </c>
      <c r="L98" s="42">
        <f t="shared" si="31"/>
        <v>252.77479647218451</v>
      </c>
      <c r="M98" s="42">
        <f t="shared" si="31"/>
        <v>813.6130597014926</v>
      </c>
      <c r="N98" s="42">
        <f t="shared" si="31"/>
        <v>0</v>
      </c>
      <c r="O98" s="42">
        <f t="shared" si="31"/>
        <v>2.02</v>
      </c>
      <c r="P98" s="42">
        <f t="shared" si="31"/>
        <v>0</v>
      </c>
      <c r="Q98" s="42">
        <f t="shared" si="31"/>
        <v>562.53826322930809</v>
      </c>
      <c r="R98" s="42">
        <f t="shared" si="31"/>
        <v>163.2889009497965</v>
      </c>
      <c r="S98" s="42">
        <f t="shared" si="31"/>
        <v>16.26289009497965</v>
      </c>
      <c r="T98" s="42">
        <f t="shared" si="31"/>
        <v>3.36</v>
      </c>
      <c r="U98" s="42">
        <f t="shared" si="31"/>
        <v>1.26</v>
      </c>
      <c r="V98" s="42">
        <f t="shared" si="31"/>
        <v>0</v>
      </c>
      <c r="W98" s="42">
        <f t="shared" si="31"/>
        <v>98.757340569877897</v>
      </c>
      <c r="X98" s="42">
        <f t="shared" si="31"/>
        <v>0</v>
      </c>
      <c r="Y98" s="42">
        <f t="shared" si="31"/>
        <v>3535.3698100407055</v>
      </c>
      <c r="Z98" s="3">
        <f t="shared" si="17"/>
        <v>4.4399999999999995</v>
      </c>
      <c r="AA98" s="3">
        <f t="shared" si="18"/>
        <v>1066.3878561736772</v>
      </c>
      <c r="AB98" s="3">
        <f t="shared" si="19"/>
        <v>2.02</v>
      </c>
      <c r="AC98" s="3">
        <f t="shared" si="20"/>
        <v>179.55179104477614</v>
      </c>
      <c r="AD98" s="3">
        <f t="shared" si="21"/>
        <v>4.62</v>
      </c>
      <c r="AE98" s="3">
        <f t="shared" si="22"/>
        <v>1936.9795861601087</v>
      </c>
    </row>
    <row r="99" spans="3:31" x14ac:dyDescent="0.3">
      <c r="D99" s="6"/>
      <c r="F99" t="s">
        <v>74</v>
      </c>
      <c r="G99" s="42">
        <f>SUMIF($E$94:$E$96,2,G94:G96)</f>
        <v>190.8</v>
      </c>
      <c r="H99" s="42">
        <f t="shared" ref="H99:Y99" si="32">SUMIF($E$94:$E$96,2,H94:H96)</f>
        <v>4.55</v>
      </c>
      <c r="I99" s="42">
        <f t="shared" si="32"/>
        <v>0.19999999999999998</v>
      </c>
      <c r="J99" s="42">
        <f t="shared" si="32"/>
        <v>0.30000000000000004</v>
      </c>
      <c r="K99" s="42">
        <f t="shared" si="32"/>
        <v>0</v>
      </c>
      <c r="L99" s="42">
        <f t="shared" si="32"/>
        <v>2.25</v>
      </c>
      <c r="M99" s="42">
        <f t="shared" si="32"/>
        <v>5.8000000000000007</v>
      </c>
      <c r="N99" s="42">
        <f t="shared" si="32"/>
        <v>0</v>
      </c>
      <c r="O99" s="42">
        <f t="shared" si="32"/>
        <v>0.88000000000000012</v>
      </c>
      <c r="P99" s="42">
        <f t="shared" si="32"/>
        <v>0</v>
      </c>
      <c r="Q99" s="42">
        <f t="shared" si="32"/>
        <v>4.45</v>
      </c>
      <c r="R99" s="42">
        <f t="shared" si="32"/>
        <v>1.4</v>
      </c>
      <c r="S99" s="42">
        <f t="shared" si="32"/>
        <v>0</v>
      </c>
      <c r="T99" s="42">
        <f t="shared" si="32"/>
        <v>5.95</v>
      </c>
      <c r="U99" s="42">
        <f t="shared" si="32"/>
        <v>0.85</v>
      </c>
      <c r="V99" s="42">
        <f t="shared" si="32"/>
        <v>0</v>
      </c>
      <c r="W99" s="42">
        <f t="shared" si="32"/>
        <v>0</v>
      </c>
      <c r="X99" s="42">
        <f t="shared" si="32"/>
        <v>0</v>
      </c>
      <c r="Y99" s="42">
        <f t="shared" si="32"/>
        <v>164.17000000000002</v>
      </c>
      <c r="Z99" s="3">
        <f t="shared" si="17"/>
        <v>0.5</v>
      </c>
      <c r="AA99" s="3">
        <f t="shared" si="18"/>
        <v>8.0500000000000007</v>
      </c>
      <c r="AB99" s="3">
        <f t="shared" si="19"/>
        <v>0.88000000000000012</v>
      </c>
      <c r="AC99" s="3">
        <f t="shared" si="20"/>
        <v>1.4</v>
      </c>
      <c r="AD99" s="3">
        <f t="shared" si="21"/>
        <v>6.8</v>
      </c>
      <c r="AE99" s="3">
        <f t="shared" si="22"/>
        <v>22.180000000000003</v>
      </c>
    </row>
    <row r="100" spans="3:31" x14ac:dyDescent="0.3">
      <c r="D100" s="6"/>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3:31" x14ac:dyDescent="0.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3:31" x14ac:dyDescent="0.3">
      <c r="G102" s="3" t="s">
        <v>61</v>
      </c>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3:31" x14ac:dyDescent="0.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3:31" x14ac:dyDescent="0.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3:31" x14ac:dyDescent="0.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3:31" x14ac:dyDescent="0.3">
      <c r="C106" s="11" t="s">
        <v>27</v>
      </c>
    </row>
    <row r="107" spans="3:31" x14ac:dyDescent="0.3">
      <c r="C107" s="11" t="s">
        <v>16</v>
      </c>
      <c r="I107" t="s">
        <v>39</v>
      </c>
      <c r="K107" t="s">
        <v>46</v>
      </c>
    </row>
    <row r="108" spans="3:31" x14ac:dyDescent="0.3">
      <c r="C108" s="6">
        <v>0</v>
      </c>
      <c r="D108" t="s">
        <v>37</v>
      </c>
      <c r="I108">
        <v>1</v>
      </c>
      <c r="J108" t="s">
        <v>40</v>
      </c>
      <c r="K108">
        <v>0</v>
      </c>
      <c r="L108" t="s">
        <v>47</v>
      </c>
    </row>
    <row r="109" spans="3:31" x14ac:dyDescent="0.3">
      <c r="C109" s="6">
        <v>1</v>
      </c>
      <c r="D109" t="s">
        <v>28</v>
      </c>
      <c r="I109">
        <v>2</v>
      </c>
      <c r="J109" t="s">
        <v>41</v>
      </c>
      <c r="K109">
        <v>1</v>
      </c>
      <c r="L109" t="s">
        <v>48</v>
      </c>
    </row>
    <row r="110" spans="3:31" x14ac:dyDescent="0.3">
      <c r="C110" s="6">
        <v>2</v>
      </c>
      <c r="D110" t="s">
        <v>29</v>
      </c>
      <c r="I110">
        <v>3</v>
      </c>
      <c r="J110" t="s">
        <v>42</v>
      </c>
      <c r="K110">
        <v>2</v>
      </c>
      <c r="L110" t="s">
        <v>49</v>
      </c>
    </row>
    <row r="111" spans="3:31" x14ac:dyDescent="0.3">
      <c r="I111">
        <v>4</v>
      </c>
      <c r="J111" t="s">
        <v>43</v>
      </c>
    </row>
    <row r="112" spans="3:31" x14ac:dyDescent="0.3">
      <c r="C112" s="11" t="s">
        <v>30</v>
      </c>
      <c r="I112">
        <v>5</v>
      </c>
      <c r="J112" t="s">
        <v>44</v>
      </c>
    </row>
    <row r="113" spans="3:31" x14ac:dyDescent="0.3">
      <c r="C113" s="6">
        <v>1</v>
      </c>
      <c r="D113" t="s">
        <v>32</v>
      </c>
      <c r="I113">
        <v>6</v>
      </c>
      <c r="J113" t="s">
        <v>45</v>
      </c>
    </row>
    <row r="114" spans="3:31" x14ac:dyDescent="0.3">
      <c r="C114" s="6">
        <v>2</v>
      </c>
      <c r="D114" t="s">
        <v>33</v>
      </c>
      <c r="I114">
        <v>7</v>
      </c>
      <c r="J114" t="s">
        <v>40</v>
      </c>
    </row>
    <row r="115" spans="3:31" x14ac:dyDescent="0.3">
      <c r="C115" s="6">
        <v>3</v>
      </c>
      <c r="D115" t="s">
        <v>34</v>
      </c>
    </row>
    <row r="116" spans="3:31" x14ac:dyDescent="0.3">
      <c r="C116" s="6">
        <v>4</v>
      </c>
      <c r="D116" t="s">
        <v>35</v>
      </c>
    </row>
    <row r="117" spans="3:31" x14ac:dyDescent="0.3">
      <c r="C117" s="6">
        <v>5</v>
      </c>
      <c r="D117" t="s">
        <v>31</v>
      </c>
    </row>
    <row r="118" spans="3:31" x14ac:dyDescent="0.3">
      <c r="C118" s="6">
        <v>6</v>
      </c>
      <c r="D118" t="s">
        <v>36</v>
      </c>
    </row>
    <row r="120" spans="3:31" x14ac:dyDescent="0.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3:31" x14ac:dyDescent="0.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3:31" x14ac:dyDescent="0.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3:31" x14ac:dyDescent="0.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3:31" x14ac:dyDescent="0.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3:31" x14ac:dyDescent="0.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3:31" x14ac:dyDescent="0.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3:31" x14ac:dyDescent="0.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3:31" x14ac:dyDescent="0.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8:31" x14ac:dyDescent="0.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8:31" x14ac:dyDescent="0.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8:31" x14ac:dyDescent="0.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8:31" x14ac:dyDescent="0.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8:31" x14ac:dyDescent="0.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8:31" x14ac:dyDescent="0.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8:31" x14ac:dyDescent="0.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8:31" x14ac:dyDescent="0.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8:31" x14ac:dyDescent="0.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8:31" x14ac:dyDescent="0.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8:31" x14ac:dyDescent="0.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8:31" x14ac:dyDescent="0.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8:31" x14ac:dyDescent="0.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8:31" x14ac:dyDescent="0.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8:31" x14ac:dyDescent="0.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8:31" x14ac:dyDescent="0.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8:31" x14ac:dyDescent="0.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8:31" x14ac:dyDescent="0.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8:31" x14ac:dyDescent="0.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8:31" x14ac:dyDescent="0.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8:31" x14ac:dyDescent="0.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8:31" x14ac:dyDescent="0.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8:31" x14ac:dyDescent="0.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8:31" x14ac:dyDescent="0.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8:31" x14ac:dyDescent="0.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8:31" x14ac:dyDescent="0.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8:31" x14ac:dyDescent="0.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8:31" x14ac:dyDescent="0.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8:31" x14ac:dyDescent="0.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8:31" x14ac:dyDescent="0.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8:31" x14ac:dyDescent="0.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8:31" x14ac:dyDescent="0.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8:31" x14ac:dyDescent="0.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8:31" x14ac:dyDescent="0.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8:31" x14ac:dyDescent="0.3">
      <c r="H163" s="3"/>
      <c r="I163" s="3"/>
      <c r="J163" s="3"/>
      <c r="K163" s="3"/>
      <c r="L163" s="3"/>
      <c r="M163" s="3"/>
      <c r="N163" s="3"/>
      <c r="O163" s="3"/>
      <c r="P163" s="3"/>
      <c r="Q163" s="3"/>
      <c r="R163" s="3"/>
      <c r="S163" s="3"/>
      <c r="T163" s="3"/>
      <c r="U163" s="3"/>
      <c r="V163" s="3"/>
      <c r="W163" s="3"/>
      <c r="X163" s="3"/>
      <c r="Y163" s="3"/>
      <c r="Z163" s="3"/>
      <c r="AA163" s="3"/>
      <c r="AB163" s="3"/>
      <c r="AC163" s="3"/>
      <c r="AD163" s="3"/>
      <c r="AE163" s="3"/>
    </row>
  </sheetData>
  <mergeCells count="31">
    <mergeCell ref="AE1:AE2"/>
    <mergeCell ref="Z1:Z2"/>
    <mergeCell ref="AA1:AA2"/>
    <mergeCell ref="AB1:AB2"/>
    <mergeCell ref="AC1:AC2"/>
    <mergeCell ref="AD1:AD2"/>
    <mergeCell ref="A47:A56"/>
    <mergeCell ref="A61:A64"/>
    <mergeCell ref="A67:A74"/>
    <mergeCell ref="A79:A89"/>
    <mergeCell ref="A94:A96"/>
    <mergeCell ref="A1:A2"/>
    <mergeCell ref="A4:A8"/>
    <mergeCell ref="A13:A19"/>
    <mergeCell ref="A24:A33"/>
    <mergeCell ref="A38:A42"/>
    <mergeCell ref="H1:H2"/>
    <mergeCell ref="I1:K1"/>
    <mergeCell ref="L1:N1"/>
    <mergeCell ref="O1:P1"/>
    <mergeCell ref="B1:B2"/>
    <mergeCell ref="D1:D2"/>
    <mergeCell ref="F1:F2"/>
    <mergeCell ref="C1:C2"/>
    <mergeCell ref="E1:E2"/>
    <mergeCell ref="G1:G2"/>
    <mergeCell ref="Q1:S1"/>
    <mergeCell ref="T1:V1"/>
    <mergeCell ref="W1:W2"/>
    <mergeCell ref="X1:X2"/>
    <mergeCell ref="Y1:Y2"/>
  </mergeCells>
  <pageMargins left="0.7" right="0.7" top="0.75" bottom="0.75" header="0.3" footer="0.3"/>
  <pageSetup paperSize="9" orientation="portrait" horizontalDpi="0" verticalDpi="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62"/>
  <sheetViews>
    <sheetView zoomScale="75" zoomScaleNormal="86" workbookViewId="0">
      <pane xSplit="1" ySplit="2" topLeftCell="B61" activePane="bottomRight" state="frozen"/>
      <selection pane="topRight" activeCell="B1" sqref="B1"/>
      <selection pane="bottomLeft" activeCell="A3" sqref="A3"/>
      <selection pane="bottomRight" activeCell="F98" sqref="F98"/>
    </sheetView>
  </sheetViews>
  <sheetFormatPr defaultColWidth="11.5546875" defaultRowHeight="14.4" x14ac:dyDescent="0.3"/>
  <cols>
    <col min="1" max="1" width="7.77734375" bestFit="1" customWidth="1"/>
    <col min="2" max="2" width="8.44140625" style="11" bestFit="1" customWidth="1"/>
    <col min="3" max="3" width="17.33203125" bestFit="1" customWidth="1"/>
    <col min="4" max="4" width="6.109375" bestFit="1" customWidth="1"/>
    <col min="5" max="5" width="7.6640625" bestFit="1" customWidth="1"/>
    <col min="6" max="7" width="7.6640625" customWidth="1"/>
    <col min="8" max="8" width="5.6640625" bestFit="1" customWidth="1"/>
    <col min="9" max="9" width="8.44140625" bestFit="1" customWidth="1"/>
    <col min="11" max="11" width="12.33203125" bestFit="1" customWidth="1"/>
    <col min="13" max="13" width="8.77734375" bestFit="1" customWidth="1"/>
    <col min="14" max="14" width="9.6640625" bestFit="1" customWidth="1"/>
    <col min="15" max="15" width="8.33203125" bestFit="1" customWidth="1"/>
    <col min="16" max="16" width="8.109375" bestFit="1" customWidth="1"/>
    <col min="17" max="17" width="5.6640625" bestFit="1" customWidth="1"/>
    <col min="18" max="18" width="10.109375" bestFit="1" customWidth="1"/>
    <col min="19" max="19" width="10" bestFit="1" customWidth="1"/>
    <col min="20" max="20" width="5.6640625" bestFit="1" customWidth="1"/>
    <col min="21" max="21" width="12.44140625" bestFit="1" customWidth="1"/>
    <col min="22" max="22" width="7.6640625" bestFit="1" customWidth="1"/>
    <col min="23" max="24" width="5.6640625" bestFit="1" customWidth="1"/>
    <col min="25" max="25" width="6.6640625" bestFit="1" customWidth="1"/>
  </cols>
  <sheetData>
    <row r="1" spans="1:29" s="8" customFormat="1" x14ac:dyDescent="0.3">
      <c r="A1" s="153" t="s">
        <v>30</v>
      </c>
      <c r="B1" s="156" t="s">
        <v>17</v>
      </c>
      <c r="C1" s="154" t="s">
        <v>38</v>
      </c>
      <c r="D1" s="153" t="s">
        <v>16</v>
      </c>
      <c r="E1" s="155" t="s">
        <v>46</v>
      </c>
      <c r="F1" s="155" t="s">
        <v>59</v>
      </c>
      <c r="G1" s="155" t="s">
        <v>60</v>
      </c>
      <c r="H1" s="152" t="s">
        <v>0</v>
      </c>
      <c r="I1" s="152" t="s">
        <v>1</v>
      </c>
      <c r="J1" s="152"/>
      <c r="K1" s="152"/>
      <c r="L1" s="152" t="s">
        <v>5</v>
      </c>
      <c r="M1" s="152"/>
      <c r="N1" s="152"/>
      <c r="O1" s="152" t="s">
        <v>6</v>
      </c>
      <c r="P1" s="152"/>
      <c r="Q1" s="151" t="s">
        <v>7</v>
      </c>
      <c r="R1" s="151"/>
      <c r="S1" s="151"/>
      <c r="T1" s="151" t="s">
        <v>9</v>
      </c>
      <c r="U1" s="151"/>
      <c r="V1" s="151"/>
      <c r="W1" s="151" t="s">
        <v>12</v>
      </c>
      <c r="X1" s="151" t="s">
        <v>13</v>
      </c>
      <c r="Y1" s="151" t="s">
        <v>14</v>
      </c>
    </row>
    <row r="2" spans="1:29" s="12" customFormat="1" ht="57.6" x14ac:dyDescent="0.3">
      <c r="A2" s="153"/>
      <c r="B2" s="156"/>
      <c r="C2" s="154"/>
      <c r="D2" s="153"/>
      <c r="E2" s="155"/>
      <c r="F2" s="155"/>
      <c r="G2" s="155"/>
      <c r="H2" s="152"/>
      <c r="I2" s="12" t="s">
        <v>2</v>
      </c>
      <c r="J2" s="12" t="s">
        <v>3</v>
      </c>
      <c r="K2" s="13" t="s">
        <v>4</v>
      </c>
      <c r="L2" s="12" t="s">
        <v>18</v>
      </c>
      <c r="M2" s="12" t="s">
        <v>19</v>
      </c>
      <c r="N2" s="12" t="s">
        <v>22</v>
      </c>
      <c r="O2" s="12" t="s">
        <v>20</v>
      </c>
      <c r="P2" s="12" t="s">
        <v>21</v>
      </c>
      <c r="Q2" s="12" t="s">
        <v>8</v>
      </c>
      <c r="R2" s="13" t="s">
        <v>15</v>
      </c>
      <c r="S2" s="13" t="s">
        <v>24</v>
      </c>
      <c r="T2" s="12" t="s">
        <v>10</v>
      </c>
      <c r="U2" s="12" t="s">
        <v>11</v>
      </c>
      <c r="V2" s="12" t="s">
        <v>23</v>
      </c>
      <c r="W2" s="151"/>
      <c r="X2" s="151"/>
      <c r="Y2" s="151"/>
    </row>
    <row r="3" spans="1:29" x14ac:dyDescent="0.3">
      <c r="A3">
        <v>1</v>
      </c>
      <c r="B3" s="11">
        <v>44186</v>
      </c>
      <c r="C3" s="6">
        <v>2</v>
      </c>
      <c r="D3">
        <v>0</v>
      </c>
      <c r="E3">
        <v>0</v>
      </c>
      <c r="F3" s="3">
        <f>SUM(H3:Y3)</f>
        <v>32.85</v>
      </c>
      <c r="G3" s="3">
        <f>SUM(H3:X3)</f>
        <v>16.649999999999999</v>
      </c>
      <c r="H3" s="3">
        <v>6.25</v>
      </c>
      <c r="I3" s="3">
        <v>1.2000000000000002</v>
      </c>
      <c r="J3" s="3">
        <v>1.2</v>
      </c>
      <c r="K3" s="3">
        <v>0</v>
      </c>
      <c r="L3" s="3">
        <f>1.7/2</f>
        <v>0.85</v>
      </c>
      <c r="M3" s="3">
        <f>1.7/2</f>
        <v>0.85</v>
      </c>
      <c r="N3" s="3">
        <v>0</v>
      </c>
      <c r="O3" s="3">
        <v>0.1</v>
      </c>
      <c r="P3" s="3">
        <v>0</v>
      </c>
      <c r="Q3" s="3">
        <v>1.2999999999999998</v>
      </c>
      <c r="R3" s="3">
        <v>1.2000000000000002</v>
      </c>
      <c r="S3" s="3">
        <v>0</v>
      </c>
      <c r="T3" s="3">
        <v>1.65</v>
      </c>
      <c r="U3" s="3">
        <v>2.0499999999999998</v>
      </c>
      <c r="V3" s="3">
        <v>0</v>
      </c>
      <c r="W3" s="3">
        <v>0</v>
      </c>
      <c r="X3" s="3">
        <v>0</v>
      </c>
      <c r="Y3" s="3">
        <v>16.200000000000003</v>
      </c>
      <c r="Z3" s="155" t="s">
        <v>63</v>
      </c>
      <c r="AB3" s="1"/>
    </row>
    <row r="4" spans="1:29" x14ac:dyDescent="0.3">
      <c r="A4">
        <v>3</v>
      </c>
      <c r="B4" s="11">
        <v>44186</v>
      </c>
      <c r="C4" s="6">
        <v>2</v>
      </c>
      <c r="D4">
        <v>1</v>
      </c>
      <c r="E4">
        <v>0</v>
      </c>
      <c r="F4" s="3">
        <f t="shared" ref="F4:F81" si="0">SUM(H4:Y4)</f>
        <v>30.2</v>
      </c>
      <c r="G4" s="3">
        <f t="shared" ref="G4:G81" si="1">SUM(H4:X4)</f>
        <v>21.7</v>
      </c>
      <c r="H4" s="3">
        <v>8.5</v>
      </c>
      <c r="I4" s="3">
        <v>0.3</v>
      </c>
      <c r="J4" s="3">
        <v>0.2</v>
      </c>
      <c r="K4" s="3">
        <v>0</v>
      </c>
      <c r="L4" s="3">
        <v>0.2</v>
      </c>
      <c r="M4" s="3">
        <v>0</v>
      </c>
      <c r="N4" s="3">
        <v>0</v>
      </c>
      <c r="O4" s="3">
        <v>0</v>
      </c>
      <c r="P4" s="3">
        <v>0</v>
      </c>
      <c r="Q4" s="3">
        <v>0.5</v>
      </c>
      <c r="R4" s="3">
        <v>9</v>
      </c>
      <c r="S4" s="3">
        <v>0</v>
      </c>
      <c r="T4" s="3">
        <v>2</v>
      </c>
      <c r="U4" s="3">
        <v>0</v>
      </c>
      <c r="V4" s="3">
        <v>0</v>
      </c>
      <c r="W4" s="3">
        <v>1</v>
      </c>
      <c r="X4" s="3">
        <v>0</v>
      </c>
      <c r="Y4" s="3">
        <v>8.5</v>
      </c>
      <c r="Z4" s="155"/>
      <c r="AB4" s="1"/>
    </row>
    <row r="5" spans="1:29" x14ac:dyDescent="0.3">
      <c r="A5">
        <v>4</v>
      </c>
      <c r="B5" s="11">
        <v>44186</v>
      </c>
      <c r="C5" s="6">
        <v>2</v>
      </c>
      <c r="D5">
        <v>2</v>
      </c>
      <c r="E5">
        <v>0</v>
      </c>
      <c r="F5" s="3">
        <f t="shared" si="0"/>
        <v>19</v>
      </c>
      <c r="G5" s="3">
        <f t="shared" si="1"/>
        <v>7.2</v>
      </c>
      <c r="H5" s="3">
        <v>3.1</v>
      </c>
      <c r="I5" s="3">
        <v>0.7</v>
      </c>
      <c r="J5" s="3">
        <v>0.6</v>
      </c>
      <c r="K5" s="3">
        <v>0</v>
      </c>
      <c r="L5" s="3">
        <v>0.15</v>
      </c>
      <c r="M5" s="3">
        <v>0</v>
      </c>
      <c r="N5" s="3">
        <v>0</v>
      </c>
      <c r="O5" s="3">
        <v>0</v>
      </c>
      <c r="P5" s="3">
        <v>0</v>
      </c>
      <c r="Q5" s="3">
        <v>0.9</v>
      </c>
      <c r="R5" s="3">
        <v>0</v>
      </c>
      <c r="S5" s="3">
        <v>0</v>
      </c>
      <c r="T5" s="3">
        <v>1.5</v>
      </c>
      <c r="U5" s="3">
        <v>0</v>
      </c>
      <c r="V5" s="3">
        <v>0</v>
      </c>
      <c r="W5" s="3">
        <v>0.25</v>
      </c>
      <c r="X5" s="3">
        <v>0</v>
      </c>
      <c r="Y5" s="3">
        <v>11.8</v>
      </c>
      <c r="Z5" s="155"/>
      <c r="AA5" s="1"/>
    </row>
    <row r="6" spans="1:29" x14ac:dyDescent="0.3">
      <c r="A6">
        <v>5</v>
      </c>
      <c r="B6" s="11">
        <v>44186</v>
      </c>
      <c r="C6" s="6">
        <v>2</v>
      </c>
      <c r="D6">
        <v>1</v>
      </c>
      <c r="E6">
        <v>0</v>
      </c>
      <c r="F6" s="3">
        <f t="shared" si="0"/>
        <v>74.25</v>
      </c>
      <c r="G6" s="3">
        <f t="shared" si="1"/>
        <v>44.349999999999994</v>
      </c>
      <c r="H6" s="3">
        <v>16.899999999999999</v>
      </c>
      <c r="I6" s="3">
        <v>1.9</v>
      </c>
      <c r="J6" s="3">
        <v>1.7</v>
      </c>
      <c r="K6" s="3">
        <v>0</v>
      </c>
      <c r="L6" s="3">
        <f>0.3/2</f>
        <v>0.15</v>
      </c>
      <c r="M6" s="3">
        <f>0.3/2</f>
        <v>0.15</v>
      </c>
      <c r="N6" s="3">
        <v>0</v>
      </c>
      <c r="O6" s="3">
        <f>2.05/2</f>
        <v>1.0249999999999999</v>
      </c>
      <c r="P6" s="3">
        <f>2.05/2</f>
        <v>1.0249999999999999</v>
      </c>
      <c r="Q6" s="3">
        <v>10.9</v>
      </c>
      <c r="R6" s="3">
        <v>2</v>
      </c>
      <c r="S6" s="3">
        <v>0</v>
      </c>
      <c r="T6" s="3">
        <v>6</v>
      </c>
      <c r="U6" s="3">
        <v>1.7</v>
      </c>
      <c r="V6" s="3">
        <v>0</v>
      </c>
      <c r="W6" s="3">
        <v>0.9</v>
      </c>
      <c r="X6" s="3">
        <v>0</v>
      </c>
      <c r="Y6" s="3">
        <v>29.9</v>
      </c>
      <c r="Z6" s="155"/>
      <c r="AB6" s="1"/>
    </row>
    <row r="7" spans="1:29" x14ac:dyDescent="0.3">
      <c r="A7">
        <v>5</v>
      </c>
      <c r="B7" s="11">
        <v>44186</v>
      </c>
      <c r="C7" s="6">
        <v>2</v>
      </c>
      <c r="D7">
        <v>2</v>
      </c>
      <c r="E7">
        <v>0</v>
      </c>
      <c r="F7" s="3">
        <f t="shared" si="0"/>
        <v>84</v>
      </c>
      <c r="G7" s="3">
        <f t="shared" si="1"/>
        <v>39</v>
      </c>
      <c r="H7" s="4">
        <v>8.4</v>
      </c>
      <c r="I7" s="4">
        <v>1.7</v>
      </c>
      <c r="J7" s="4">
        <v>2.1</v>
      </c>
      <c r="K7" s="4">
        <v>0.3</v>
      </c>
      <c r="L7" s="4">
        <f>(8.4-5.2)/2</f>
        <v>1.6</v>
      </c>
      <c r="M7" s="4">
        <f>(8.4-5.2)/2</f>
        <v>1.6</v>
      </c>
      <c r="N7" s="4">
        <v>0</v>
      </c>
      <c r="O7" s="4">
        <f>0.6/2</f>
        <v>0.3</v>
      </c>
      <c r="P7" s="4">
        <f>0.6/2</f>
        <v>0.3</v>
      </c>
      <c r="Q7" s="4">
        <f>20-5.4</f>
        <v>14.6</v>
      </c>
      <c r="R7" s="4">
        <v>1.5</v>
      </c>
      <c r="S7" s="4">
        <v>0</v>
      </c>
      <c r="T7" s="3">
        <f>9.8-4.8</f>
        <v>5.0000000000000009</v>
      </c>
      <c r="U7" s="3">
        <f>7-5.4</f>
        <v>1.5999999999999996</v>
      </c>
      <c r="V7" s="3">
        <v>0</v>
      </c>
      <c r="W7" s="3">
        <v>0</v>
      </c>
      <c r="X7" s="3">
        <v>0</v>
      </c>
      <c r="Y7" s="3">
        <f>58-13</f>
        <v>45</v>
      </c>
      <c r="Z7" s="155"/>
      <c r="AA7" s="1"/>
    </row>
    <row r="8" spans="1:29" s="56" customFormat="1" x14ac:dyDescent="0.3">
      <c r="B8" s="11">
        <v>44186</v>
      </c>
      <c r="C8" s="67"/>
      <c r="E8" s="56" t="s">
        <v>75</v>
      </c>
      <c r="F8" s="42">
        <f>SUM(F3:F7)</f>
        <v>240.3</v>
      </c>
      <c r="G8" s="42">
        <f t="shared" ref="G8:Y8" si="2">SUM(G3:G7)</f>
        <v>128.89999999999998</v>
      </c>
      <c r="H8" s="42">
        <f t="shared" si="2"/>
        <v>43.15</v>
      </c>
      <c r="I8" s="42">
        <f t="shared" si="2"/>
        <v>5.8</v>
      </c>
      <c r="J8" s="42">
        <f t="shared" si="2"/>
        <v>5.8000000000000007</v>
      </c>
      <c r="K8" s="42">
        <f t="shared" si="2"/>
        <v>0.3</v>
      </c>
      <c r="L8" s="42">
        <f t="shared" si="2"/>
        <v>2.95</v>
      </c>
      <c r="M8" s="42">
        <f t="shared" si="2"/>
        <v>2.6</v>
      </c>
      <c r="N8" s="42">
        <f t="shared" si="2"/>
        <v>0</v>
      </c>
      <c r="O8" s="42">
        <f t="shared" si="2"/>
        <v>1.425</v>
      </c>
      <c r="P8" s="42">
        <f t="shared" si="2"/>
        <v>1.325</v>
      </c>
      <c r="Q8" s="42">
        <f t="shared" si="2"/>
        <v>28.2</v>
      </c>
      <c r="R8" s="42">
        <f t="shared" si="2"/>
        <v>13.7</v>
      </c>
      <c r="S8" s="42">
        <f t="shared" si="2"/>
        <v>0</v>
      </c>
      <c r="T8" s="42">
        <f t="shared" si="2"/>
        <v>16.150000000000002</v>
      </c>
      <c r="U8" s="42">
        <f t="shared" si="2"/>
        <v>5.35</v>
      </c>
      <c r="V8" s="42">
        <f t="shared" si="2"/>
        <v>0</v>
      </c>
      <c r="W8" s="42">
        <f t="shared" si="2"/>
        <v>2.15</v>
      </c>
      <c r="X8" s="42">
        <f t="shared" si="2"/>
        <v>0</v>
      </c>
      <c r="Y8" s="42">
        <f t="shared" si="2"/>
        <v>111.4</v>
      </c>
      <c r="Z8" s="64"/>
      <c r="AA8" s="65"/>
    </row>
    <row r="9" spans="1:29" s="56" customFormat="1" x14ac:dyDescent="0.3">
      <c r="B9" s="11">
        <v>44186</v>
      </c>
      <c r="C9" s="63">
        <v>1</v>
      </c>
      <c r="E9" s="56" t="s">
        <v>73</v>
      </c>
      <c r="F9" s="42">
        <f>SUMIF($D$3:$D$7,1,F3:F7)</f>
        <v>104.45</v>
      </c>
      <c r="G9" s="42">
        <f t="shared" ref="G9:Y9" si="3">SUMIF($D$3:$D$7,1,G3:G7)</f>
        <v>66.05</v>
      </c>
      <c r="H9" s="42">
        <f t="shared" si="3"/>
        <v>25.4</v>
      </c>
      <c r="I9" s="42">
        <f t="shared" si="3"/>
        <v>2.1999999999999997</v>
      </c>
      <c r="J9" s="42">
        <f t="shared" si="3"/>
        <v>1.9</v>
      </c>
      <c r="K9" s="42">
        <f t="shared" si="3"/>
        <v>0</v>
      </c>
      <c r="L9" s="42">
        <f t="shared" si="3"/>
        <v>0.35</v>
      </c>
      <c r="M9" s="42">
        <f t="shared" si="3"/>
        <v>0.15</v>
      </c>
      <c r="N9" s="42">
        <f t="shared" si="3"/>
        <v>0</v>
      </c>
      <c r="O9" s="42">
        <f t="shared" si="3"/>
        <v>1.0249999999999999</v>
      </c>
      <c r="P9" s="42">
        <f t="shared" si="3"/>
        <v>1.0249999999999999</v>
      </c>
      <c r="Q9" s="42">
        <f t="shared" si="3"/>
        <v>11.4</v>
      </c>
      <c r="R9" s="42">
        <f t="shared" si="3"/>
        <v>11</v>
      </c>
      <c r="S9" s="42">
        <f t="shared" si="3"/>
        <v>0</v>
      </c>
      <c r="T9" s="42">
        <f t="shared" si="3"/>
        <v>8</v>
      </c>
      <c r="U9" s="42">
        <f t="shared" si="3"/>
        <v>1.7</v>
      </c>
      <c r="V9" s="42">
        <f t="shared" si="3"/>
        <v>0</v>
      </c>
      <c r="W9" s="42">
        <f t="shared" si="3"/>
        <v>1.9</v>
      </c>
      <c r="X9" s="42">
        <f t="shared" si="3"/>
        <v>0</v>
      </c>
      <c r="Y9" s="42">
        <f t="shared" si="3"/>
        <v>38.4</v>
      </c>
      <c r="Z9" s="64"/>
      <c r="AA9" s="65"/>
    </row>
    <row r="10" spans="1:29" s="56" customFormat="1" x14ac:dyDescent="0.3">
      <c r="B10" s="11">
        <v>44186</v>
      </c>
      <c r="C10" s="63">
        <v>2</v>
      </c>
      <c r="E10" s="56" t="s">
        <v>74</v>
      </c>
      <c r="F10" s="42">
        <f>SUMIF($D$3:$D$7,0,F3:F7)+SUMIF($D$3:$D$7,2,F3:F7)</f>
        <v>135.85</v>
      </c>
      <c r="G10" s="42">
        <f t="shared" ref="G10:Y10" si="4">SUMIF($D$3:$D$7,0,G3:G7)+SUMIF($D$3:$D$7,2,G3:G7)</f>
        <v>62.85</v>
      </c>
      <c r="H10" s="42">
        <f t="shared" si="4"/>
        <v>17.75</v>
      </c>
      <c r="I10" s="42">
        <f t="shared" si="4"/>
        <v>3.6</v>
      </c>
      <c r="J10" s="42">
        <f t="shared" si="4"/>
        <v>3.9000000000000004</v>
      </c>
      <c r="K10" s="42">
        <f t="shared" si="4"/>
        <v>0.3</v>
      </c>
      <c r="L10" s="42">
        <f t="shared" si="4"/>
        <v>2.6</v>
      </c>
      <c r="M10" s="42">
        <f t="shared" si="4"/>
        <v>2.4500000000000002</v>
      </c>
      <c r="N10" s="42">
        <f t="shared" si="4"/>
        <v>0</v>
      </c>
      <c r="O10" s="42">
        <f t="shared" si="4"/>
        <v>0.4</v>
      </c>
      <c r="P10" s="42">
        <f t="shared" si="4"/>
        <v>0.3</v>
      </c>
      <c r="Q10" s="42">
        <f t="shared" si="4"/>
        <v>16.8</v>
      </c>
      <c r="R10" s="42">
        <f t="shared" si="4"/>
        <v>2.7</v>
      </c>
      <c r="S10" s="42">
        <f t="shared" si="4"/>
        <v>0</v>
      </c>
      <c r="T10" s="42">
        <f t="shared" si="4"/>
        <v>8.15</v>
      </c>
      <c r="U10" s="42">
        <f t="shared" si="4"/>
        <v>3.6499999999999995</v>
      </c>
      <c r="V10" s="42">
        <f t="shared" si="4"/>
        <v>0</v>
      </c>
      <c r="W10" s="42">
        <f t="shared" si="4"/>
        <v>0.25</v>
      </c>
      <c r="X10" s="42">
        <f t="shared" si="4"/>
        <v>0</v>
      </c>
      <c r="Y10" s="42">
        <f t="shared" si="4"/>
        <v>73</v>
      </c>
      <c r="Z10" s="65"/>
      <c r="AA10" s="65"/>
    </row>
    <row r="11" spans="1:29" x14ac:dyDescent="0.3">
      <c r="C11" s="6"/>
      <c r="F11" s="3"/>
      <c r="G11" s="3"/>
      <c r="H11" s="4"/>
      <c r="I11" s="4"/>
      <c r="J11" s="4"/>
      <c r="K11" s="4"/>
      <c r="L11" s="4"/>
      <c r="M11" s="4"/>
      <c r="N11" s="4"/>
      <c r="O11" s="4"/>
      <c r="P11" s="4"/>
      <c r="Q11" s="4"/>
      <c r="R11" s="4"/>
      <c r="S11" s="4"/>
      <c r="T11" s="3"/>
      <c r="U11" s="3"/>
      <c r="V11" s="3"/>
      <c r="W11" s="3"/>
      <c r="X11" s="3"/>
      <c r="Y11" s="3"/>
      <c r="Z11" s="1"/>
      <c r="AA11" s="1"/>
    </row>
    <row r="12" spans="1:29" x14ac:dyDescent="0.3">
      <c r="A12">
        <v>1</v>
      </c>
      <c r="B12" s="11">
        <v>44187</v>
      </c>
      <c r="C12" s="6">
        <v>3</v>
      </c>
      <c r="D12">
        <v>1</v>
      </c>
      <c r="E12">
        <v>0</v>
      </c>
      <c r="F12" s="3">
        <f t="shared" si="0"/>
        <v>14.450000000000001</v>
      </c>
      <c r="G12" s="3">
        <f t="shared" si="1"/>
        <v>2.5500000000000003</v>
      </c>
      <c r="H12" s="3">
        <v>1.5</v>
      </c>
      <c r="I12" s="3">
        <v>0.2</v>
      </c>
      <c r="J12" s="3">
        <v>0.1</v>
      </c>
      <c r="K12" s="3">
        <v>0</v>
      </c>
      <c r="L12" s="3">
        <f>0.1/2</f>
        <v>0.05</v>
      </c>
      <c r="M12" s="3">
        <f>0.1/2</f>
        <v>0.05</v>
      </c>
      <c r="N12" s="3">
        <v>0</v>
      </c>
      <c r="O12" s="3">
        <v>0.3</v>
      </c>
      <c r="P12" s="3">
        <v>0</v>
      </c>
      <c r="Q12" s="3">
        <v>0</v>
      </c>
      <c r="R12" s="3">
        <v>0.35</v>
      </c>
      <c r="S12" s="3">
        <v>0</v>
      </c>
      <c r="T12" s="3">
        <v>0</v>
      </c>
      <c r="U12" s="3">
        <v>0</v>
      </c>
      <c r="V12" s="3">
        <v>0</v>
      </c>
      <c r="W12" s="3">
        <v>0</v>
      </c>
      <c r="X12" s="3">
        <v>0</v>
      </c>
      <c r="Y12" s="3">
        <v>11.9</v>
      </c>
      <c r="Z12" s="155" t="s">
        <v>64</v>
      </c>
      <c r="AA12" s="1"/>
      <c r="AB12" s="1"/>
      <c r="AC12" s="4"/>
    </row>
    <row r="13" spans="1:29" x14ac:dyDescent="0.3">
      <c r="A13">
        <v>2</v>
      </c>
      <c r="B13" s="11">
        <v>44187</v>
      </c>
      <c r="C13" s="6">
        <v>3</v>
      </c>
      <c r="D13">
        <v>2</v>
      </c>
      <c r="E13">
        <v>0</v>
      </c>
      <c r="F13" s="3">
        <f t="shared" si="0"/>
        <v>10.4</v>
      </c>
      <c r="G13" s="3">
        <f t="shared" si="1"/>
        <v>7.2</v>
      </c>
      <c r="H13" s="3">
        <v>1.1000000000000001</v>
      </c>
      <c r="I13" s="3">
        <v>0.9</v>
      </c>
      <c r="J13" s="3">
        <v>1</v>
      </c>
      <c r="K13" s="3">
        <v>0</v>
      </c>
      <c r="L13" s="3">
        <v>1.1000000000000001</v>
      </c>
      <c r="M13" s="3">
        <v>0</v>
      </c>
      <c r="N13" s="3">
        <v>0</v>
      </c>
      <c r="O13" s="3">
        <v>0.05</v>
      </c>
      <c r="P13" s="3">
        <v>0</v>
      </c>
      <c r="Q13" s="3">
        <v>0.3</v>
      </c>
      <c r="R13" s="3">
        <v>0.4</v>
      </c>
      <c r="S13" s="3">
        <v>0</v>
      </c>
      <c r="T13" s="3">
        <v>1.4</v>
      </c>
      <c r="U13" s="3">
        <v>0.3</v>
      </c>
      <c r="V13" s="3">
        <v>0</v>
      </c>
      <c r="W13" s="3">
        <v>0.65</v>
      </c>
      <c r="X13" s="3">
        <v>0</v>
      </c>
      <c r="Y13" s="3">
        <v>3.2</v>
      </c>
      <c r="Z13" s="155"/>
      <c r="AA13" s="1"/>
      <c r="AB13" s="4"/>
      <c r="AC13" s="4"/>
    </row>
    <row r="14" spans="1:29" x14ac:dyDescent="0.3">
      <c r="A14">
        <v>3</v>
      </c>
      <c r="B14" s="11">
        <v>44187</v>
      </c>
      <c r="C14" s="6">
        <v>3</v>
      </c>
      <c r="D14">
        <v>1</v>
      </c>
      <c r="E14">
        <v>0</v>
      </c>
      <c r="F14" s="3">
        <f t="shared" si="0"/>
        <v>2.5499999999999998</v>
      </c>
      <c r="G14" s="3">
        <f t="shared" si="1"/>
        <v>2.5499999999999998</v>
      </c>
      <c r="H14" s="3">
        <v>0</v>
      </c>
      <c r="I14" s="3">
        <v>0.35</v>
      </c>
      <c r="J14" s="3">
        <v>0.4</v>
      </c>
      <c r="K14" s="3">
        <v>0</v>
      </c>
      <c r="L14" s="3">
        <v>0.7</v>
      </c>
      <c r="M14" s="3">
        <v>0</v>
      </c>
      <c r="N14" s="3">
        <v>0</v>
      </c>
      <c r="O14" s="3">
        <v>0.05</v>
      </c>
      <c r="P14" s="3">
        <v>0</v>
      </c>
      <c r="Q14" s="3">
        <v>0</v>
      </c>
      <c r="R14" s="3">
        <v>0.2</v>
      </c>
      <c r="S14" s="3">
        <v>0</v>
      </c>
      <c r="T14" s="3">
        <v>0</v>
      </c>
      <c r="U14" s="3">
        <v>0.35</v>
      </c>
      <c r="V14" s="3">
        <v>0</v>
      </c>
      <c r="W14" s="3">
        <v>0.5</v>
      </c>
      <c r="X14" s="3">
        <v>0</v>
      </c>
      <c r="Y14" s="3">
        <v>0</v>
      </c>
      <c r="Z14" s="155"/>
      <c r="AA14" s="1"/>
      <c r="AB14" s="1"/>
      <c r="AC14" s="4"/>
    </row>
    <row r="15" spans="1:29" x14ac:dyDescent="0.3">
      <c r="A15">
        <v>4</v>
      </c>
      <c r="B15" s="11">
        <v>44187</v>
      </c>
      <c r="C15" s="6">
        <v>3</v>
      </c>
      <c r="D15">
        <v>2</v>
      </c>
      <c r="E15">
        <v>0</v>
      </c>
      <c r="F15" s="3">
        <f t="shared" si="0"/>
        <v>6.1999999999999993</v>
      </c>
      <c r="G15" s="3">
        <f t="shared" si="1"/>
        <v>6.1999999999999993</v>
      </c>
      <c r="H15" s="3">
        <v>2.65</v>
      </c>
      <c r="I15" s="3">
        <v>0.25</v>
      </c>
      <c r="J15" s="3">
        <v>0.3</v>
      </c>
      <c r="K15" s="3">
        <v>0</v>
      </c>
      <c r="L15" s="3">
        <v>0.2</v>
      </c>
      <c r="M15" s="3">
        <v>0</v>
      </c>
      <c r="N15" s="3">
        <v>0</v>
      </c>
      <c r="O15" s="3">
        <v>0</v>
      </c>
      <c r="P15" s="3">
        <v>0</v>
      </c>
      <c r="Q15" s="3">
        <v>0.4</v>
      </c>
      <c r="R15" s="3">
        <v>0.3</v>
      </c>
      <c r="S15" s="3">
        <v>0</v>
      </c>
      <c r="T15" s="3">
        <v>1.1000000000000001</v>
      </c>
      <c r="U15" s="3">
        <v>0.25</v>
      </c>
      <c r="V15" s="3">
        <v>0</v>
      </c>
      <c r="W15" s="3">
        <v>0.75</v>
      </c>
      <c r="X15" s="3">
        <v>0</v>
      </c>
      <c r="Y15" s="3">
        <v>0</v>
      </c>
      <c r="Z15" s="155"/>
      <c r="AA15" s="1"/>
      <c r="AB15" s="4"/>
      <c r="AC15" s="4"/>
    </row>
    <row r="16" spans="1:29" x14ac:dyDescent="0.3">
      <c r="A16">
        <v>5</v>
      </c>
      <c r="B16" s="11">
        <v>44187</v>
      </c>
      <c r="C16" s="6">
        <v>3</v>
      </c>
      <c r="D16">
        <v>1</v>
      </c>
      <c r="E16">
        <v>0</v>
      </c>
      <c r="F16" s="3">
        <f t="shared" si="0"/>
        <v>69.8</v>
      </c>
      <c r="G16" s="3">
        <f t="shared" si="1"/>
        <v>29.8</v>
      </c>
      <c r="H16" s="4">
        <v>6.5</v>
      </c>
      <c r="I16" s="3">
        <v>1.9</v>
      </c>
      <c r="J16" s="3">
        <v>2.2000000000000002</v>
      </c>
      <c r="K16" s="3">
        <v>0</v>
      </c>
      <c r="L16" s="3">
        <f>0.3/2</f>
        <v>0.15</v>
      </c>
      <c r="M16" s="3">
        <f>0.3/2</f>
        <v>0.15</v>
      </c>
      <c r="N16" s="3">
        <v>0</v>
      </c>
      <c r="O16" s="3">
        <f>3/2</f>
        <v>1.5</v>
      </c>
      <c r="P16" s="3">
        <f>3/2</f>
        <v>1.5</v>
      </c>
      <c r="Q16" s="3">
        <v>1.6</v>
      </c>
      <c r="R16" s="3">
        <v>0.4</v>
      </c>
      <c r="S16" s="3">
        <v>0</v>
      </c>
      <c r="T16" s="3">
        <v>12.5</v>
      </c>
      <c r="U16" s="3">
        <v>1.4</v>
      </c>
      <c r="V16" s="3">
        <v>0</v>
      </c>
      <c r="W16" s="3">
        <v>0</v>
      </c>
      <c r="X16" s="3">
        <v>0</v>
      </c>
      <c r="Y16" s="3">
        <v>40</v>
      </c>
      <c r="Z16" s="155"/>
      <c r="AA16" s="1"/>
      <c r="AB16" s="1"/>
      <c r="AC16" s="4"/>
    </row>
    <row r="17" spans="1:29" x14ac:dyDescent="0.3">
      <c r="A17">
        <v>5</v>
      </c>
      <c r="B17" s="11">
        <v>44187</v>
      </c>
      <c r="C17" s="6">
        <v>3</v>
      </c>
      <c r="D17">
        <v>2</v>
      </c>
      <c r="E17">
        <v>0</v>
      </c>
      <c r="F17" s="3">
        <f t="shared" si="0"/>
        <v>48.1</v>
      </c>
      <c r="G17" s="3">
        <f t="shared" si="1"/>
        <v>22.1</v>
      </c>
      <c r="H17" s="4">
        <v>7.9</v>
      </c>
      <c r="I17" s="3">
        <v>1</v>
      </c>
      <c r="J17" s="3">
        <v>0.75</v>
      </c>
      <c r="K17" s="3">
        <v>0</v>
      </c>
      <c r="L17" s="3">
        <f>0.6/2</f>
        <v>0.3</v>
      </c>
      <c r="M17" s="3">
        <f>0.6/2</f>
        <v>0.3</v>
      </c>
      <c r="N17" s="3">
        <v>0</v>
      </c>
      <c r="O17" s="3">
        <f>0.5/2</f>
        <v>0.25</v>
      </c>
      <c r="P17" s="3">
        <f>0.5/2</f>
        <v>0.25</v>
      </c>
      <c r="Q17" s="3">
        <v>4</v>
      </c>
      <c r="R17" s="3">
        <v>0.9</v>
      </c>
      <c r="S17" s="3">
        <v>0</v>
      </c>
      <c r="T17" s="3">
        <v>5.05</v>
      </c>
      <c r="U17" s="3">
        <v>1.4</v>
      </c>
      <c r="V17" s="3">
        <v>0</v>
      </c>
      <c r="W17" s="3">
        <v>0</v>
      </c>
      <c r="X17" s="3">
        <v>0</v>
      </c>
      <c r="Y17" s="3">
        <v>26</v>
      </c>
      <c r="Z17" s="155"/>
      <c r="AA17" s="1"/>
      <c r="AB17" s="4"/>
      <c r="AC17" s="4"/>
    </row>
    <row r="18" spans="1:29" x14ac:dyDescent="0.3">
      <c r="A18">
        <v>1</v>
      </c>
      <c r="B18" s="11">
        <v>44187</v>
      </c>
      <c r="C18" s="6">
        <v>3</v>
      </c>
      <c r="D18">
        <v>2</v>
      </c>
      <c r="E18">
        <v>0</v>
      </c>
      <c r="F18" s="3">
        <f t="shared" si="0"/>
        <v>14.35</v>
      </c>
      <c r="G18" s="3">
        <f t="shared" si="1"/>
        <v>6.4499999999999993</v>
      </c>
      <c r="H18" s="3">
        <v>0.75</v>
      </c>
      <c r="I18" s="3">
        <v>1.1000000000000001</v>
      </c>
      <c r="J18" s="3">
        <v>1.2</v>
      </c>
      <c r="K18" s="3">
        <v>0</v>
      </c>
      <c r="L18" s="3">
        <f>0.5/2</f>
        <v>0.25</v>
      </c>
      <c r="M18" s="3">
        <f>0.5/2</f>
        <v>0.25</v>
      </c>
      <c r="N18" s="3">
        <v>0</v>
      </c>
      <c r="O18" s="3">
        <v>0.2</v>
      </c>
      <c r="P18" s="3">
        <v>0</v>
      </c>
      <c r="Q18" s="3">
        <v>0.3</v>
      </c>
      <c r="R18" s="3">
        <v>0.1</v>
      </c>
      <c r="S18" s="3">
        <v>0</v>
      </c>
      <c r="T18" s="3">
        <v>0.75</v>
      </c>
      <c r="U18" s="3">
        <v>1</v>
      </c>
      <c r="V18" s="3">
        <v>0</v>
      </c>
      <c r="W18" s="3">
        <v>0.55000000000000004</v>
      </c>
      <c r="X18" s="3">
        <v>0</v>
      </c>
      <c r="Y18" s="3">
        <v>7.9</v>
      </c>
      <c r="Z18" s="155"/>
      <c r="AA18" s="1"/>
      <c r="AB18" s="4"/>
      <c r="AC18" s="4"/>
    </row>
    <row r="19" spans="1:29" s="56" customFormat="1" x14ac:dyDescent="0.3">
      <c r="B19" s="11">
        <v>44187</v>
      </c>
      <c r="C19" s="42"/>
      <c r="E19" s="56" t="s">
        <v>75</v>
      </c>
      <c r="F19" s="42">
        <f>SUM(F12:F18)</f>
        <v>165.85</v>
      </c>
      <c r="G19" s="42">
        <f t="shared" ref="G19:Y19" si="5">SUM(G12:G18)</f>
        <v>76.850000000000009</v>
      </c>
      <c r="H19" s="42">
        <f t="shared" si="5"/>
        <v>20.399999999999999</v>
      </c>
      <c r="I19" s="42">
        <f t="shared" si="5"/>
        <v>5.6999999999999993</v>
      </c>
      <c r="J19" s="42">
        <f t="shared" si="5"/>
        <v>5.95</v>
      </c>
      <c r="K19" s="42">
        <f t="shared" si="5"/>
        <v>0</v>
      </c>
      <c r="L19" s="42">
        <f t="shared" si="5"/>
        <v>2.75</v>
      </c>
      <c r="M19" s="42">
        <f t="shared" si="5"/>
        <v>0.75</v>
      </c>
      <c r="N19" s="42">
        <f t="shared" si="5"/>
        <v>0</v>
      </c>
      <c r="O19" s="42">
        <f t="shared" si="5"/>
        <v>2.35</v>
      </c>
      <c r="P19" s="42">
        <f t="shared" si="5"/>
        <v>1.75</v>
      </c>
      <c r="Q19" s="42">
        <f t="shared" si="5"/>
        <v>6.6</v>
      </c>
      <c r="R19" s="42">
        <f t="shared" si="5"/>
        <v>2.65</v>
      </c>
      <c r="S19" s="42">
        <f t="shared" si="5"/>
        <v>0</v>
      </c>
      <c r="T19" s="42">
        <f t="shared" si="5"/>
        <v>20.8</v>
      </c>
      <c r="U19" s="42">
        <f t="shared" si="5"/>
        <v>4.6999999999999993</v>
      </c>
      <c r="V19" s="42">
        <f t="shared" si="5"/>
        <v>0</v>
      </c>
      <c r="W19" s="42">
        <f t="shared" si="5"/>
        <v>2.4500000000000002</v>
      </c>
      <c r="X19" s="42">
        <f t="shared" si="5"/>
        <v>0</v>
      </c>
      <c r="Y19" s="42">
        <f t="shared" si="5"/>
        <v>89</v>
      </c>
      <c r="Z19" s="64"/>
      <c r="AA19" s="66"/>
      <c r="AB19" s="66"/>
      <c r="AC19" s="66"/>
    </row>
    <row r="20" spans="1:29" s="56" customFormat="1" x14ac:dyDescent="0.3">
      <c r="B20" s="11">
        <v>44187</v>
      </c>
      <c r="C20" s="63">
        <v>1</v>
      </c>
      <c r="E20" s="56" t="s">
        <v>73</v>
      </c>
      <c r="F20" s="42">
        <f>SUMIF($D$12:$D$18,1,F12:F18)</f>
        <v>86.8</v>
      </c>
      <c r="G20" s="42">
        <f t="shared" ref="G20:Y20" si="6">SUMIF($D$12:$D$18,1,G12:G18)</f>
        <v>34.9</v>
      </c>
      <c r="H20" s="42">
        <f t="shared" si="6"/>
        <v>8</v>
      </c>
      <c r="I20" s="42">
        <f t="shared" si="6"/>
        <v>2.4500000000000002</v>
      </c>
      <c r="J20" s="42">
        <f t="shared" si="6"/>
        <v>2.7</v>
      </c>
      <c r="K20" s="42">
        <f t="shared" si="6"/>
        <v>0</v>
      </c>
      <c r="L20" s="42">
        <f t="shared" si="6"/>
        <v>0.9</v>
      </c>
      <c r="M20" s="42">
        <f t="shared" si="6"/>
        <v>0.2</v>
      </c>
      <c r="N20" s="42">
        <f t="shared" si="6"/>
        <v>0</v>
      </c>
      <c r="O20" s="42">
        <f t="shared" si="6"/>
        <v>1.85</v>
      </c>
      <c r="P20" s="42">
        <f t="shared" si="6"/>
        <v>1.5</v>
      </c>
      <c r="Q20" s="42">
        <f t="shared" si="6"/>
        <v>1.6</v>
      </c>
      <c r="R20" s="42">
        <f t="shared" si="6"/>
        <v>0.95000000000000007</v>
      </c>
      <c r="S20" s="42">
        <f t="shared" si="6"/>
        <v>0</v>
      </c>
      <c r="T20" s="42">
        <f t="shared" si="6"/>
        <v>12.5</v>
      </c>
      <c r="U20" s="42">
        <f t="shared" si="6"/>
        <v>1.75</v>
      </c>
      <c r="V20" s="42">
        <f t="shared" si="6"/>
        <v>0</v>
      </c>
      <c r="W20" s="42">
        <f t="shared" si="6"/>
        <v>0.5</v>
      </c>
      <c r="X20" s="42">
        <f t="shared" si="6"/>
        <v>0</v>
      </c>
      <c r="Y20" s="42">
        <f t="shared" si="6"/>
        <v>51.9</v>
      </c>
      <c r="Z20" s="64"/>
      <c r="AA20" s="65"/>
      <c r="AB20" s="66"/>
      <c r="AC20" s="66"/>
    </row>
    <row r="21" spans="1:29" s="56" customFormat="1" x14ac:dyDescent="0.3">
      <c r="B21" s="11">
        <v>44187</v>
      </c>
      <c r="C21" s="63">
        <v>2</v>
      </c>
      <c r="E21" s="56" t="s">
        <v>74</v>
      </c>
      <c r="F21" s="42">
        <f>SUMIF($D$12:$D$18,2,F12:F18)</f>
        <v>79.05</v>
      </c>
      <c r="G21" s="42">
        <f t="shared" ref="G21:Y21" si="7">SUMIF($D$12:$D$18,2,G12:G18)</f>
        <v>41.95</v>
      </c>
      <c r="H21" s="42">
        <f t="shared" si="7"/>
        <v>12.4</v>
      </c>
      <c r="I21" s="42">
        <f t="shared" si="7"/>
        <v>3.25</v>
      </c>
      <c r="J21" s="42">
        <f t="shared" si="7"/>
        <v>3.25</v>
      </c>
      <c r="K21" s="42">
        <f t="shared" si="7"/>
        <v>0</v>
      </c>
      <c r="L21" s="42">
        <f t="shared" si="7"/>
        <v>1.85</v>
      </c>
      <c r="M21" s="42">
        <f t="shared" si="7"/>
        <v>0.55000000000000004</v>
      </c>
      <c r="N21" s="42">
        <f t="shared" si="7"/>
        <v>0</v>
      </c>
      <c r="O21" s="42">
        <f t="shared" si="7"/>
        <v>0.5</v>
      </c>
      <c r="P21" s="42">
        <f t="shared" si="7"/>
        <v>0.25</v>
      </c>
      <c r="Q21" s="42">
        <f t="shared" si="7"/>
        <v>5</v>
      </c>
      <c r="R21" s="42">
        <f t="shared" si="7"/>
        <v>1.7000000000000002</v>
      </c>
      <c r="S21" s="42">
        <f t="shared" si="7"/>
        <v>0</v>
      </c>
      <c r="T21" s="42">
        <f t="shared" si="7"/>
        <v>8.3000000000000007</v>
      </c>
      <c r="U21" s="42">
        <f t="shared" si="7"/>
        <v>2.95</v>
      </c>
      <c r="V21" s="42">
        <f t="shared" si="7"/>
        <v>0</v>
      </c>
      <c r="W21" s="42">
        <f t="shared" si="7"/>
        <v>1.95</v>
      </c>
      <c r="X21" s="42">
        <f t="shared" si="7"/>
        <v>0</v>
      </c>
      <c r="Y21" s="42">
        <f t="shared" si="7"/>
        <v>37.1</v>
      </c>
      <c r="Z21" s="65"/>
      <c r="AA21" s="65"/>
      <c r="AB21" s="66"/>
      <c r="AC21" s="66"/>
    </row>
    <row r="22" spans="1:29" x14ac:dyDescent="0.3">
      <c r="C22" s="6"/>
      <c r="F22" s="3"/>
      <c r="G22" s="3"/>
      <c r="H22" s="3"/>
      <c r="I22" s="3"/>
      <c r="J22" s="3"/>
      <c r="K22" s="3"/>
      <c r="L22" s="3"/>
      <c r="M22" s="3"/>
      <c r="N22" s="3"/>
      <c r="O22" s="3"/>
      <c r="P22" s="3"/>
      <c r="Q22" s="3"/>
      <c r="R22" s="3"/>
      <c r="S22" s="3"/>
      <c r="T22" s="3"/>
      <c r="U22" s="3"/>
      <c r="V22" s="3"/>
      <c r="W22" s="3"/>
      <c r="X22" s="3"/>
      <c r="Y22" s="3"/>
      <c r="Z22" s="1"/>
      <c r="AA22" s="1"/>
      <c r="AB22" s="4"/>
      <c r="AC22" s="4"/>
    </row>
    <row r="23" spans="1:29" x14ac:dyDescent="0.3">
      <c r="A23">
        <v>1</v>
      </c>
      <c r="B23" s="11">
        <v>44188</v>
      </c>
      <c r="C23" s="6">
        <v>4</v>
      </c>
      <c r="D23">
        <v>1</v>
      </c>
      <c r="E23">
        <v>1</v>
      </c>
      <c r="F23" s="3">
        <f t="shared" si="0"/>
        <v>7.65</v>
      </c>
      <c r="G23" s="3">
        <f t="shared" si="1"/>
        <v>2.75</v>
      </c>
      <c r="H23" s="3">
        <v>0.5</v>
      </c>
      <c r="I23" s="3">
        <v>0.15</v>
      </c>
      <c r="J23" s="3">
        <v>0.1</v>
      </c>
      <c r="K23" s="3">
        <v>0</v>
      </c>
      <c r="L23" s="3">
        <f>0.95/2</f>
        <v>0.47499999999999998</v>
      </c>
      <c r="M23" s="3">
        <f>0.95/2</f>
        <v>0.47499999999999998</v>
      </c>
      <c r="N23" s="3">
        <v>0</v>
      </c>
      <c r="O23" s="3">
        <v>0.3</v>
      </c>
      <c r="P23" s="3">
        <v>0</v>
      </c>
      <c r="Q23" s="3">
        <v>0</v>
      </c>
      <c r="R23" s="3">
        <v>0.2</v>
      </c>
      <c r="S23" s="3">
        <v>0</v>
      </c>
      <c r="T23" s="3">
        <v>0</v>
      </c>
      <c r="U23" s="3">
        <v>0.25</v>
      </c>
      <c r="V23" s="3">
        <v>0</v>
      </c>
      <c r="W23" s="3">
        <v>0.3</v>
      </c>
      <c r="X23" s="3">
        <v>0</v>
      </c>
      <c r="Y23" s="3">
        <v>4.9000000000000004</v>
      </c>
      <c r="Z23" s="155" t="s">
        <v>66</v>
      </c>
      <c r="AA23" s="3"/>
      <c r="AB23" s="4"/>
      <c r="AC23" s="4"/>
    </row>
    <row r="24" spans="1:29" x14ac:dyDescent="0.3">
      <c r="A24">
        <v>1</v>
      </c>
      <c r="B24" s="11">
        <v>44188</v>
      </c>
      <c r="C24" s="6">
        <v>4</v>
      </c>
      <c r="D24">
        <v>2</v>
      </c>
      <c r="E24">
        <v>1</v>
      </c>
      <c r="F24" s="3">
        <f t="shared" si="0"/>
        <v>13.700000000000001</v>
      </c>
      <c r="G24" s="3">
        <f t="shared" si="1"/>
        <v>5.8000000000000007</v>
      </c>
      <c r="H24" s="3">
        <v>1.4</v>
      </c>
      <c r="I24" s="3">
        <v>0.15</v>
      </c>
      <c r="J24" s="3">
        <v>0.3</v>
      </c>
      <c r="K24" s="3">
        <v>0</v>
      </c>
      <c r="L24" s="3">
        <f>1.35/2</f>
        <v>0.67500000000000004</v>
      </c>
      <c r="M24" s="3">
        <f>1.35/2</f>
        <v>0.67500000000000004</v>
      </c>
      <c r="N24" s="3">
        <v>0</v>
      </c>
      <c r="O24" s="3">
        <v>0.2</v>
      </c>
      <c r="P24" s="3">
        <v>0</v>
      </c>
      <c r="Q24" s="3">
        <v>0.5</v>
      </c>
      <c r="R24" s="3">
        <v>0.15</v>
      </c>
      <c r="S24" s="3">
        <v>0</v>
      </c>
      <c r="T24" s="3">
        <v>0.75</v>
      </c>
      <c r="U24" s="3">
        <v>0.4</v>
      </c>
      <c r="V24" s="3">
        <v>0</v>
      </c>
      <c r="W24" s="3">
        <v>0.6</v>
      </c>
      <c r="X24" s="3">
        <v>0</v>
      </c>
      <c r="Y24" s="3">
        <v>7.9</v>
      </c>
      <c r="Z24" s="155"/>
      <c r="AA24" s="1"/>
      <c r="AB24" s="4"/>
      <c r="AC24" s="4"/>
    </row>
    <row r="25" spans="1:29" x14ac:dyDescent="0.3">
      <c r="A25">
        <v>2</v>
      </c>
      <c r="B25" s="11">
        <v>44188</v>
      </c>
      <c r="C25" s="6">
        <v>4</v>
      </c>
      <c r="D25">
        <v>1</v>
      </c>
      <c r="E25">
        <v>1</v>
      </c>
      <c r="F25" s="3">
        <f t="shared" si="0"/>
        <v>22</v>
      </c>
      <c r="G25" s="3">
        <f t="shared" si="1"/>
        <v>9.1</v>
      </c>
      <c r="H25" s="3">
        <v>0.55000000000000004</v>
      </c>
      <c r="I25" s="3">
        <v>1.6</v>
      </c>
      <c r="J25" s="3">
        <v>0.3</v>
      </c>
      <c r="K25" s="3">
        <v>0</v>
      </c>
      <c r="L25" s="3">
        <v>3.7</v>
      </c>
      <c r="M25" s="3">
        <v>0</v>
      </c>
      <c r="N25" s="3">
        <v>0</v>
      </c>
      <c r="O25" s="3">
        <v>0</v>
      </c>
      <c r="P25" s="3">
        <v>0</v>
      </c>
      <c r="Q25" s="3">
        <v>0.4</v>
      </c>
      <c r="R25" s="3">
        <v>0.2</v>
      </c>
      <c r="S25" s="3">
        <v>0</v>
      </c>
      <c r="T25" s="3">
        <v>0.3</v>
      </c>
      <c r="U25" s="3">
        <v>0.95</v>
      </c>
      <c r="V25" s="3">
        <v>0</v>
      </c>
      <c r="W25" s="3">
        <v>1.1000000000000001</v>
      </c>
      <c r="X25" s="3">
        <v>0</v>
      </c>
      <c r="Y25" s="3">
        <v>12.9</v>
      </c>
      <c r="Z25" s="155"/>
      <c r="AA25" s="1"/>
      <c r="AB25" s="4"/>
      <c r="AC25" s="4"/>
    </row>
    <row r="26" spans="1:29" x14ac:dyDescent="0.3">
      <c r="A26">
        <v>2</v>
      </c>
      <c r="B26" s="11">
        <v>44188</v>
      </c>
      <c r="C26" s="6">
        <v>4</v>
      </c>
      <c r="D26">
        <v>2</v>
      </c>
      <c r="E26">
        <v>1</v>
      </c>
      <c r="F26" s="3">
        <f t="shared" si="0"/>
        <v>3.65</v>
      </c>
      <c r="G26" s="3">
        <f t="shared" si="1"/>
        <v>3.65</v>
      </c>
      <c r="H26" s="3">
        <v>1.6</v>
      </c>
      <c r="I26" s="3">
        <v>0.2</v>
      </c>
      <c r="J26" s="3">
        <v>0.1</v>
      </c>
      <c r="K26" s="3">
        <v>0</v>
      </c>
      <c r="L26" s="3">
        <v>0.2</v>
      </c>
      <c r="M26" s="3">
        <v>0</v>
      </c>
      <c r="N26" s="3">
        <v>0</v>
      </c>
      <c r="O26" s="3">
        <v>0.05</v>
      </c>
      <c r="P26" s="3">
        <v>0</v>
      </c>
      <c r="Q26" s="3">
        <v>0</v>
      </c>
      <c r="R26" s="3">
        <v>0</v>
      </c>
      <c r="S26" s="3">
        <v>0</v>
      </c>
      <c r="T26" s="3">
        <v>1.4</v>
      </c>
      <c r="U26" s="3">
        <v>0.1</v>
      </c>
      <c r="V26" s="3">
        <v>0</v>
      </c>
      <c r="W26" s="3">
        <v>0</v>
      </c>
      <c r="X26" s="3">
        <v>0</v>
      </c>
      <c r="Y26" s="3">
        <v>0</v>
      </c>
      <c r="Z26" s="155"/>
      <c r="AA26" s="1"/>
      <c r="AB26" s="4"/>
      <c r="AC26" s="4"/>
    </row>
    <row r="27" spans="1:29" x14ac:dyDescent="0.3">
      <c r="A27">
        <v>3</v>
      </c>
      <c r="B27" s="11">
        <v>44188</v>
      </c>
      <c r="C27" s="6">
        <v>4</v>
      </c>
      <c r="D27">
        <v>1</v>
      </c>
      <c r="E27">
        <v>1</v>
      </c>
      <c r="F27" s="3">
        <f t="shared" si="0"/>
        <v>0</v>
      </c>
      <c r="G27" s="3">
        <f t="shared" si="1"/>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155"/>
      <c r="AA27" s="1"/>
      <c r="AB27" s="4"/>
      <c r="AC27" s="4"/>
    </row>
    <row r="28" spans="1:29" x14ac:dyDescent="0.3">
      <c r="A28">
        <v>3</v>
      </c>
      <c r="B28" s="11">
        <v>44188</v>
      </c>
      <c r="C28" s="6">
        <v>4</v>
      </c>
      <c r="D28">
        <v>2</v>
      </c>
      <c r="E28">
        <v>1</v>
      </c>
      <c r="F28" s="3">
        <f t="shared" si="0"/>
        <v>2.0499999999999998</v>
      </c>
      <c r="G28" s="3">
        <f t="shared" si="1"/>
        <v>2.0499999999999998</v>
      </c>
      <c r="H28" s="3">
        <v>0.4</v>
      </c>
      <c r="I28" s="3">
        <v>0.5</v>
      </c>
      <c r="J28" s="3">
        <v>0.3</v>
      </c>
      <c r="K28" s="3">
        <v>0</v>
      </c>
      <c r="L28" s="3">
        <v>0.5</v>
      </c>
      <c r="M28" s="3">
        <v>0</v>
      </c>
      <c r="N28" s="3">
        <v>0</v>
      </c>
      <c r="O28" s="3">
        <v>0</v>
      </c>
      <c r="P28" s="3">
        <v>0</v>
      </c>
      <c r="Q28" s="3">
        <v>0</v>
      </c>
      <c r="R28" s="3">
        <v>0.15</v>
      </c>
      <c r="S28" s="3">
        <v>0</v>
      </c>
      <c r="T28" s="3">
        <v>0</v>
      </c>
      <c r="U28" s="3">
        <v>0.2</v>
      </c>
      <c r="V28" s="3">
        <v>0</v>
      </c>
      <c r="W28" s="3">
        <v>0</v>
      </c>
      <c r="X28" s="3">
        <v>0</v>
      </c>
      <c r="Y28" s="3">
        <v>0</v>
      </c>
      <c r="Z28" s="155"/>
      <c r="AA28" s="1"/>
      <c r="AB28" s="4"/>
      <c r="AC28" s="4"/>
    </row>
    <row r="29" spans="1:29" x14ac:dyDescent="0.3">
      <c r="A29">
        <v>4</v>
      </c>
      <c r="B29" s="11">
        <v>44188</v>
      </c>
      <c r="C29" s="6">
        <v>4</v>
      </c>
      <c r="D29">
        <v>1</v>
      </c>
      <c r="E29">
        <v>1</v>
      </c>
      <c r="F29" s="3">
        <f t="shared" si="0"/>
        <v>10.5</v>
      </c>
      <c r="G29" s="3">
        <f t="shared" si="1"/>
        <v>3.9</v>
      </c>
      <c r="H29" s="3">
        <v>1.4</v>
      </c>
      <c r="I29" s="3">
        <v>0.5</v>
      </c>
      <c r="J29" s="3">
        <v>0.25</v>
      </c>
      <c r="K29" s="3">
        <v>0</v>
      </c>
      <c r="L29" s="3">
        <v>0.3</v>
      </c>
      <c r="M29" s="3">
        <v>0</v>
      </c>
      <c r="N29" s="3">
        <v>0</v>
      </c>
      <c r="O29" s="3">
        <v>0.15</v>
      </c>
      <c r="P29" s="3">
        <v>0</v>
      </c>
      <c r="Q29" s="3">
        <v>0.35</v>
      </c>
      <c r="R29" s="3">
        <v>0.15</v>
      </c>
      <c r="S29" s="3">
        <v>0</v>
      </c>
      <c r="T29" s="3">
        <v>0</v>
      </c>
      <c r="U29" s="3">
        <v>0.2</v>
      </c>
      <c r="V29" s="3">
        <v>0.6</v>
      </c>
      <c r="W29" s="3">
        <v>0</v>
      </c>
      <c r="X29" s="3">
        <v>0</v>
      </c>
      <c r="Y29" s="3">
        <v>6.6</v>
      </c>
      <c r="Z29" s="155"/>
      <c r="AA29" s="1"/>
      <c r="AB29" s="4"/>
      <c r="AC29" s="4"/>
    </row>
    <row r="30" spans="1:29" x14ac:dyDescent="0.3">
      <c r="A30">
        <v>4</v>
      </c>
      <c r="B30" s="11">
        <v>44188</v>
      </c>
      <c r="C30" s="6">
        <v>4</v>
      </c>
      <c r="D30">
        <v>2</v>
      </c>
      <c r="E30">
        <v>1</v>
      </c>
      <c r="F30" s="3">
        <f t="shared" si="0"/>
        <v>2.15</v>
      </c>
      <c r="G30" s="3">
        <f t="shared" si="1"/>
        <v>2.15</v>
      </c>
      <c r="H30" s="3">
        <v>0.4</v>
      </c>
      <c r="I30" s="3">
        <v>0.2</v>
      </c>
      <c r="J30" s="3">
        <v>0</v>
      </c>
      <c r="K30" s="3">
        <v>0</v>
      </c>
      <c r="L30" s="3">
        <v>0.4</v>
      </c>
      <c r="M30" s="3">
        <v>0</v>
      </c>
      <c r="N30" s="3">
        <v>0</v>
      </c>
      <c r="O30" s="3">
        <v>0.2</v>
      </c>
      <c r="P30" s="3">
        <v>0</v>
      </c>
      <c r="Q30" s="3">
        <v>0.7</v>
      </c>
      <c r="R30" s="3">
        <v>0</v>
      </c>
      <c r="S30" s="3">
        <v>0</v>
      </c>
      <c r="T30" s="3">
        <v>0</v>
      </c>
      <c r="U30" s="3">
        <v>0.25</v>
      </c>
      <c r="V30" s="3">
        <v>0</v>
      </c>
      <c r="W30" s="3">
        <v>0</v>
      </c>
      <c r="X30" s="3">
        <v>0</v>
      </c>
      <c r="Y30" s="3">
        <v>0</v>
      </c>
      <c r="Z30" s="155"/>
      <c r="AA30" s="1"/>
      <c r="AB30" s="4"/>
      <c r="AC30" s="4"/>
    </row>
    <row r="31" spans="1:29" x14ac:dyDescent="0.3">
      <c r="A31">
        <v>5</v>
      </c>
      <c r="B31" s="11">
        <v>44188</v>
      </c>
      <c r="C31" s="6">
        <v>4</v>
      </c>
      <c r="D31">
        <v>1</v>
      </c>
      <c r="E31">
        <v>1</v>
      </c>
      <c r="F31" s="3">
        <f t="shared" si="0"/>
        <v>79.05</v>
      </c>
      <c r="G31" s="3">
        <f t="shared" si="1"/>
        <v>27.250000000000004</v>
      </c>
      <c r="H31" s="4">
        <v>8.8000000000000007</v>
      </c>
      <c r="I31" s="4">
        <v>1.6</v>
      </c>
      <c r="J31" s="4">
        <v>0.75</v>
      </c>
      <c r="K31" s="4">
        <v>0</v>
      </c>
      <c r="L31" s="4">
        <f>2.85/2</f>
        <v>1.425</v>
      </c>
      <c r="M31" s="4">
        <f>2.85/2</f>
        <v>1.425</v>
      </c>
      <c r="N31" s="4">
        <v>0</v>
      </c>
      <c r="O31" s="4">
        <f>1.75/2</f>
        <v>0.875</v>
      </c>
      <c r="P31" s="4">
        <f>1.75/2</f>
        <v>0.875</v>
      </c>
      <c r="Q31" s="4">
        <v>5.05</v>
      </c>
      <c r="R31" s="4">
        <v>0.1</v>
      </c>
      <c r="S31" s="4">
        <v>0</v>
      </c>
      <c r="T31" s="4">
        <v>5</v>
      </c>
      <c r="U31" s="4">
        <v>1.1000000000000001</v>
      </c>
      <c r="V31" s="4">
        <v>0</v>
      </c>
      <c r="W31" s="4">
        <v>0.25</v>
      </c>
      <c r="X31" s="4">
        <v>0</v>
      </c>
      <c r="Y31" s="4">
        <v>51.8</v>
      </c>
      <c r="Z31" s="155"/>
      <c r="AA31" s="1"/>
      <c r="AB31" s="4"/>
      <c r="AC31" s="4"/>
    </row>
    <row r="32" spans="1:29" x14ac:dyDescent="0.3">
      <c r="A32">
        <v>5</v>
      </c>
      <c r="B32" s="11">
        <v>44188</v>
      </c>
      <c r="C32" s="6">
        <v>4</v>
      </c>
      <c r="D32">
        <v>2</v>
      </c>
      <c r="E32">
        <v>1</v>
      </c>
      <c r="F32" s="3">
        <f t="shared" si="0"/>
        <v>71.95</v>
      </c>
      <c r="G32" s="3">
        <f t="shared" si="1"/>
        <v>33.650000000000006</v>
      </c>
      <c r="H32" s="4">
        <v>7.9</v>
      </c>
      <c r="I32" s="4">
        <v>2.9</v>
      </c>
      <c r="J32" s="4">
        <v>1.1000000000000001</v>
      </c>
      <c r="K32" s="4">
        <v>0</v>
      </c>
      <c r="L32" s="4">
        <f>5.05/2</f>
        <v>2.5249999999999999</v>
      </c>
      <c r="M32" s="4">
        <f>5.05/2</f>
        <v>2.5249999999999999</v>
      </c>
      <c r="N32" s="4">
        <v>0</v>
      </c>
      <c r="O32" s="4">
        <f>0.6/2</f>
        <v>0.3</v>
      </c>
      <c r="P32" s="4">
        <f>0.6/2</f>
        <v>0.3</v>
      </c>
      <c r="Q32" s="4">
        <v>4</v>
      </c>
      <c r="R32" s="4">
        <v>0.9</v>
      </c>
      <c r="S32" s="4">
        <v>0</v>
      </c>
      <c r="T32" s="4">
        <v>10.3</v>
      </c>
      <c r="U32" s="4">
        <v>0.7</v>
      </c>
      <c r="V32" s="4">
        <v>0</v>
      </c>
      <c r="W32" s="4">
        <v>0.2</v>
      </c>
      <c r="X32" s="4">
        <v>0</v>
      </c>
      <c r="Y32" s="4">
        <v>38.299999999999997</v>
      </c>
      <c r="Z32" s="155"/>
      <c r="AA32" s="1"/>
      <c r="AB32" s="4"/>
      <c r="AC32" s="4"/>
    </row>
    <row r="33" spans="1:29" s="56" customFormat="1" x14ac:dyDescent="0.3">
      <c r="B33" s="11">
        <v>44188</v>
      </c>
      <c r="C33" s="63"/>
      <c r="E33" s="56" t="s">
        <v>75</v>
      </c>
      <c r="F33" s="42">
        <f>SUM(F23:F32)</f>
        <v>212.7</v>
      </c>
      <c r="G33" s="42">
        <f t="shared" ref="G33:Y33" si="8">SUM(G23:G32)</f>
        <v>90.300000000000011</v>
      </c>
      <c r="H33" s="42">
        <f t="shared" si="8"/>
        <v>22.950000000000003</v>
      </c>
      <c r="I33" s="42">
        <f t="shared" si="8"/>
        <v>7.8000000000000007</v>
      </c>
      <c r="J33" s="42">
        <f t="shared" si="8"/>
        <v>3.1999999999999997</v>
      </c>
      <c r="K33" s="42">
        <f t="shared" si="8"/>
        <v>0</v>
      </c>
      <c r="L33" s="42">
        <f t="shared" si="8"/>
        <v>10.199999999999999</v>
      </c>
      <c r="M33" s="42">
        <f t="shared" si="8"/>
        <v>5.0999999999999996</v>
      </c>
      <c r="N33" s="42">
        <f t="shared" si="8"/>
        <v>0</v>
      </c>
      <c r="O33" s="42">
        <f t="shared" si="8"/>
        <v>2.0750000000000002</v>
      </c>
      <c r="P33" s="42">
        <f t="shared" si="8"/>
        <v>1.175</v>
      </c>
      <c r="Q33" s="42">
        <f t="shared" si="8"/>
        <v>11</v>
      </c>
      <c r="R33" s="42">
        <f t="shared" si="8"/>
        <v>1.85</v>
      </c>
      <c r="S33" s="42">
        <f t="shared" si="8"/>
        <v>0</v>
      </c>
      <c r="T33" s="42">
        <f t="shared" si="8"/>
        <v>17.75</v>
      </c>
      <c r="U33" s="42">
        <f t="shared" si="8"/>
        <v>4.1500000000000004</v>
      </c>
      <c r="V33" s="42">
        <f t="shared" si="8"/>
        <v>0.6</v>
      </c>
      <c r="W33" s="42">
        <f t="shared" si="8"/>
        <v>2.4500000000000002</v>
      </c>
      <c r="X33" s="42">
        <f t="shared" si="8"/>
        <v>0</v>
      </c>
      <c r="Y33" s="42">
        <f t="shared" si="8"/>
        <v>122.39999999999999</v>
      </c>
      <c r="Z33" s="64"/>
      <c r="AA33" s="66"/>
      <c r="AB33" s="66"/>
      <c r="AC33" s="66"/>
    </row>
    <row r="34" spans="1:29" s="56" customFormat="1" x14ac:dyDescent="0.3">
      <c r="B34" s="11">
        <v>44188</v>
      </c>
      <c r="C34" s="63">
        <v>1</v>
      </c>
      <c r="E34" s="56" t="s">
        <v>73</v>
      </c>
      <c r="F34" s="42">
        <f>SUMIF($D$23:$D$32,1,F23:F32)</f>
        <v>119.19999999999999</v>
      </c>
      <c r="G34" s="42">
        <f t="shared" ref="G34:Y34" si="9">SUMIF($D$23:$D$32,1,G23:G32)</f>
        <v>43</v>
      </c>
      <c r="H34" s="42">
        <f t="shared" si="9"/>
        <v>11.25</v>
      </c>
      <c r="I34" s="42">
        <f t="shared" si="9"/>
        <v>3.85</v>
      </c>
      <c r="J34" s="42">
        <f t="shared" si="9"/>
        <v>1.4</v>
      </c>
      <c r="K34" s="42">
        <f t="shared" si="9"/>
        <v>0</v>
      </c>
      <c r="L34" s="42">
        <f t="shared" si="9"/>
        <v>5.8999999999999995</v>
      </c>
      <c r="M34" s="42">
        <f t="shared" si="9"/>
        <v>1.9</v>
      </c>
      <c r="N34" s="42">
        <f t="shared" si="9"/>
        <v>0</v>
      </c>
      <c r="O34" s="42">
        <f t="shared" si="9"/>
        <v>1.325</v>
      </c>
      <c r="P34" s="42">
        <f t="shared" si="9"/>
        <v>0.875</v>
      </c>
      <c r="Q34" s="42">
        <f t="shared" si="9"/>
        <v>5.8</v>
      </c>
      <c r="R34" s="42">
        <f t="shared" si="9"/>
        <v>0.65</v>
      </c>
      <c r="S34" s="42">
        <f t="shared" si="9"/>
        <v>0</v>
      </c>
      <c r="T34" s="42">
        <f t="shared" si="9"/>
        <v>5.3</v>
      </c>
      <c r="U34" s="42">
        <f t="shared" si="9"/>
        <v>2.5</v>
      </c>
      <c r="V34" s="42">
        <f t="shared" si="9"/>
        <v>0.6</v>
      </c>
      <c r="W34" s="42">
        <f t="shared" si="9"/>
        <v>1.6500000000000001</v>
      </c>
      <c r="X34" s="42">
        <f t="shared" si="9"/>
        <v>0</v>
      </c>
      <c r="Y34" s="42">
        <f t="shared" si="9"/>
        <v>76.199999999999989</v>
      </c>
      <c r="Z34" s="64"/>
      <c r="AA34" s="65"/>
      <c r="AB34" s="66"/>
      <c r="AC34" s="66"/>
    </row>
    <row r="35" spans="1:29" s="56" customFormat="1" x14ac:dyDescent="0.3">
      <c r="B35" s="11">
        <v>44188</v>
      </c>
      <c r="C35" s="63">
        <v>2</v>
      </c>
      <c r="E35" s="56" t="s">
        <v>74</v>
      </c>
      <c r="F35" s="42">
        <f>SUMIF($D$23:$D$32,2,F23:F32)</f>
        <v>93.5</v>
      </c>
      <c r="G35" s="42">
        <f t="shared" ref="G35:Y35" si="10">SUMIF($D$23:$D$32,2,G23:G32)</f>
        <v>47.300000000000004</v>
      </c>
      <c r="H35" s="42">
        <f t="shared" si="10"/>
        <v>11.7</v>
      </c>
      <c r="I35" s="42">
        <f t="shared" si="10"/>
        <v>3.95</v>
      </c>
      <c r="J35" s="42">
        <f t="shared" si="10"/>
        <v>1.8</v>
      </c>
      <c r="K35" s="42">
        <f t="shared" si="10"/>
        <v>0</v>
      </c>
      <c r="L35" s="42">
        <f t="shared" si="10"/>
        <v>4.3</v>
      </c>
      <c r="M35" s="42">
        <f t="shared" si="10"/>
        <v>3.2</v>
      </c>
      <c r="N35" s="42">
        <f t="shared" si="10"/>
        <v>0</v>
      </c>
      <c r="O35" s="42">
        <f t="shared" si="10"/>
        <v>0.75</v>
      </c>
      <c r="P35" s="42">
        <f t="shared" si="10"/>
        <v>0.3</v>
      </c>
      <c r="Q35" s="42">
        <f t="shared" si="10"/>
        <v>5.2</v>
      </c>
      <c r="R35" s="42">
        <f t="shared" si="10"/>
        <v>1.2</v>
      </c>
      <c r="S35" s="42">
        <f t="shared" si="10"/>
        <v>0</v>
      </c>
      <c r="T35" s="42">
        <f t="shared" si="10"/>
        <v>12.450000000000001</v>
      </c>
      <c r="U35" s="42">
        <f t="shared" si="10"/>
        <v>1.65</v>
      </c>
      <c r="V35" s="42">
        <f t="shared" si="10"/>
        <v>0</v>
      </c>
      <c r="W35" s="42">
        <f t="shared" si="10"/>
        <v>0.8</v>
      </c>
      <c r="X35" s="42">
        <f t="shared" si="10"/>
        <v>0</v>
      </c>
      <c r="Y35" s="42">
        <f t="shared" si="10"/>
        <v>46.199999999999996</v>
      </c>
      <c r="Z35" s="65"/>
      <c r="AA35" s="65"/>
      <c r="AB35" s="66"/>
      <c r="AC35" s="66"/>
    </row>
    <row r="36" spans="1:29" x14ac:dyDescent="0.3">
      <c r="C36" s="6"/>
      <c r="F36" s="3"/>
      <c r="G36" s="3"/>
      <c r="H36" s="4"/>
      <c r="I36" s="4"/>
      <c r="J36" s="4"/>
      <c r="K36" s="4"/>
      <c r="L36" s="4"/>
      <c r="M36" s="4"/>
      <c r="N36" s="4"/>
      <c r="O36" s="4"/>
      <c r="P36" s="4"/>
      <c r="Q36" s="4"/>
      <c r="R36" s="4"/>
      <c r="S36" s="4"/>
      <c r="T36" s="4"/>
      <c r="U36" s="4"/>
      <c r="V36" s="4"/>
      <c r="W36" s="4"/>
      <c r="X36" s="4"/>
      <c r="Y36" s="4"/>
      <c r="Z36" s="1"/>
      <c r="AA36" s="1"/>
      <c r="AB36" s="4"/>
      <c r="AC36" s="4"/>
    </row>
    <row r="37" spans="1:29" x14ac:dyDescent="0.3">
      <c r="A37">
        <v>2</v>
      </c>
      <c r="B37" s="11">
        <v>44189</v>
      </c>
      <c r="C37" s="6">
        <v>5</v>
      </c>
      <c r="D37">
        <v>2</v>
      </c>
      <c r="E37">
        <v>1</v>
      </c>
      <c r="F37" s="3">
        <f t="shared" si="0"/>
        <v>20.66</v>
      </c>
      <c r="G37" s="3">
        <f t="shared" si="1"/>
        <v>5.76</v>
      </c>
      <c r="H37" s="3">
        <v>0.3</v>
      </c>
      <c r="I37" s="3">
        <v>1</v>
      </c>
      <c r="J37" s="3">
        <v>0.7</v>
      </c>
      <c r="K37" s="3">
        <v>0</v>
      </c>
      <c r="L37" s="3">
        <v>0.25</v>
      </c>
      <c r="M37" s="3">
        <v>0.25</v>
      </c>
      <c r="N37" s="3">
        <v>0</v>
      </c>
      <c r="O37" s="3">
        <v>0.9</v>
      </c>
      <c r="P37" s="3">
        <v>0</v>
      </c>
      <c r="Q37" s="3">
        <v>0</v>
      </c>
      <c r="R37" s="3">
        <v>0</v>
      </c>
      <c r="S37" s="3">
        <v>0</v>
      </c>
      <c r="T37" s="3">
        <v>1.5999999999999999</v>
      </c>
      <c r="U37" s="3">
        <v>0.76</v>
      </c>
      <c r="V37" s="3">
        <v>0</v>
      </c>
      <c r="W37" s="3">
        <v>0</v>
      </c>
      <c r="X37" s="3">
        <v>0</v>
      </c>
      <c r="Y37" s="3">
        <v>14.9</v>
      </c>
      <c r="Z37" s="155" t="s">
        <v>67</v>
      </c>
      <c r="AA37" s="1"/>
      <c r="AB37" s="4"/>
      <c r="AC37" s="4"/>
    </row>
    <row r="38" spans="1:29" x14ac:dyDescent="0.3">
      <c r="A38">
        <v>3</v>
      </c>
      <c r="B38" s="11">
        <v>44189</v>
      </c>
      <c r="C38" s="6">
        <v>5</v>
      </c>
      <c r="D38">
        <v>2</v>
      </c>
      <c r="E38">
        <v>1</v>
      </c>
      <c r="F38" s="3">
        <f t="shared" si="0"/>
        <v>7.7299999999999995</v>
      </c>
      <c r="G38" s="3">
        <f t="shared" si="1"/>
        <v>7.7299999999999995</v>
      </c>
      <c r="H38" s="3">
        <v>1.02</v>
      </c>
      <c r="I38" s="3">
        <v>1.0899999999999999</v>
      </c>
      <c r="J38" s="3">
        <v>0.44</v>
      </c>
      <c r="K38" s="3">
        <v>0</v>
      </c>
      <c r="L38" s="3">
        <v>0.14000000000000001</v>
      </c>
      <c r="M38" s="3">
        <v>0.14000000000000001</v>
      </c>
      <c r="N38" s="3">
        <v>0</v>
      </c>
      <c r="O38" s="3">
        <v>0</v>
      </c>
      <c r="P38" s="3">
        <v>0</v>
      </c>
      <c r="Q38" s="3">
        <v>0</v>
      </c>
      <c r="R38" s="3">
        <v>0</v>
      </c>
      <c r="S38" s="3">
        <v>0</v>
      </c>
      <c r="T38" s="3">
        <v>1.7799999999999998</v>
      </c>
      <c r="U38" s="3">
        <v>2.46</v>
      </c>
      <c r="V38" s="3">
        <v>0.66</v>
      </c>
      <c r="W38" s="3">
        <v>0</v>
      </c>
      <c r="X38" s="3">
        <v>0</v>
      </c>
      <c r="Y38" s="4">
        <v>0</v>
      </c>
      <c r="Z38" s="155"/>
      <c r="AA38" s="1"/>
      <c r="AB38" s="4"/>
      <c r="AC38" s="4"/>
    </row>
    <row r="39" spans="1:29" x14ac:dyDescent="0.3">
      <c r="A39">
        <v>5</v>
      </c>
      <c r="B39" s="11">
        <v>44189</v>
      </c>
      <c r="C39" s="6">
        <v>5</v>
      </c>
      <c r="D39">
        <v>1</v>
      </c>
      <c r="E39">
        <v>1</v>
      </c>
      <c r="F39" s="3">
        <f t="shared" si="0"/>
        <v>34.08</v>
      </c>
      <c r="G39" s="3">
        <f t="shared" si="1"/>
        <v>13.079999999999998</v>
      </c>
      <c r="H39" s="4">
        <v>1.5999999999999999</v>
      </c>
      <c r="I39" s="4">
        <v>0.05</v>
      </c>
      <c r="J39" s="4">
        <v>0.05</v>
      </c>
      <c r="K39" s="4">
        <v>0</v>
      </c>
      <c r="L39" s="4">
        <v>0</v>
      </c>
      <c r="M39" s="4">
        <v>0.8</v>
      </c>
      <c r="N39" s="4">
        <v>0</v>
      </c>
      <c r="O39" s="4">
        <v>0</v>
      </c>
      <c r="P39" s="4">
        <v>0</v>
      </c>
      <c r="Q39" s="4">
        <v>2.9</v>
      </c>
      <c r="R39" s="4">
        <v>0.45</v>
      </c>
      <c r="S39" s="4">
        <v>0.1</v>
      </c>
      <c r="T39" s="4">
        <v>6.93</v>
      </c>
      <c r="U39" s="4">
        <v>0.19999999999999998</v>
      </c>
      <c r="V39" s="4">
        <v>0</v>
      </c>
      <c r="W39" s="4">
        <v>0</v>
      </c>
      <c r="X39" s="4">
        <v>0</v>
      </c>
      <c r="Y39" s="4">
        <v>21</v>
      </c>
      <c r="Z39" s="155"/>
      <c r="AA39" s="1"/>
      <c r="AB39" s="4"/>
      <c r="AC39" s="4"/>
    </row>
    <row r="40" spans="1:29" x14ac:dyDescent="0.3">
      <c r="A40">
        <v>5</v>
      </c>
      <c r="B40" s="11">
        <v>44189</v>
      </c>
      <c r="C40" s="6">
        <v>5</v>
      </c>
      <c r="D40">
        <v>2</v>
      </c>
      <c r="E40">
        <v>1</v>
      </c>
      <c r="F40" s="3">
        <f t="shared" si="0"/>
        <v>48.529999999999994</v>
      </c>
      <c r="G40" s="3">
        <f t="shared" si="1"/>
        <v>37.779999999999994</v>
      </c>
      <c r="H40" s="4">
        <v>6.1</v>
      </c>
      <c r="I40" s="4">
        <v>2.85</v>
      </c>
      <c r="J40" s="4">
        <v>0.2</v>
      </c>
      <c r="K40" s="4">
        <v>0</v>
      </c>
      <c r="L40" s="4">
        <v>0.1</v>
      </c>
      <c r="M40" s="4">
        <v>4.95</v>
      </c>
      <c r="N40" s="4">
        <v>0</v>
      </c>
      <c r="O40" s="4">
        <v>0</v>
      </c>
      <c r="P40" s="4">
        <v>0</v>
      </c>
      <c r="Q40" s="4">
        <v>15.75</v>
      </c>
      <c r="R40" s="4">
        <v>0.08</v>
      </c>
      <c r="S40" s="4">
        <v>0</v>
      </c>
      <c r="T40" s="4">
        <v>6.85</v>
      </c>
      <c r="U40" s="4">
        <v>0.90000000000000013</v>
      </c>
      <c r="V40" s="4">
        <v>0</v>
      </c>
      <c r="W40" s="4">
        <v>0</v>
      </c>
      <c r="X40" s="4">
        <v>0</v>
      </c>
      <c r="Y40" s="4">
        <v>10.75</v>
      </c>
      <c r="Z40" s="155"/>
      <c r="AA40" s="1"/>
      <c r="AB40" s="4"/>
      <c r="AC40" s="4"/>
    </row>
    <row r="41" spans="1:29" x14ac:dyDescent="0.3">
      <c r="A41">
        <v>6</v>
      </c>
      <c r="B41" s="11">
        <v>44189</v>
      </c>
      <c r="C41" s="6">
        <v>5</v>
      </c>
      <c r="D41">
        <v>0</v>
      </c>
      <c r="E41">
        <v>1</v>
      </c>
      <c r="F41" s="3">
        <f t="shared" si="0"/>
        <v>111.50999999999999</v>
      </c>
      <c r="G41" s="3">
        <f t="shared" si="1"/>
        <v>60.109999999999992</v>
      </c>
      <c r="H41" s="3">
        <v>23</v>
      </c>
      <c r="I41" s="3">
        <v>0.65</v>
      </c>
      <c r="J41" s="3">
        <v>0.65</v>
      </c>
      <c r="K41" s="3">
        <v>0</v>
      </c>
      <c r="L41" s="3">
        <v>3.75</v>
      </c>
      <c r="M41" s="3">
        <v>9.4600000000000009</v>
      </c>
      <c r="N41" s="3">
        <v>0</v>
      </c>
      <c r="O41" s="3">
        <v>0.9</v>
      </c>
      <c r="P41" s="3">
        <v>0.1</v>
      </c>
      <c r="Q41" s="3">
        <v>7.95</v>
      </c>
      <c r="R41" s="3">
        <v>3.8</v>
      </c>
      <c r="S41" s="3">
        <v>0.3</v>
      </c>
      <c r="T41" s="3">
        <v>5.55</v>
      </c>
      <c r="U41" s="3">
        <v>2.7</v>
      </c>
      <c r="V41" s="3">
        <v>0</v>
      </c>
      <c r="W41" s="3">
        <v>1.3</v>
      </c>
      <c r="X41" s="3">
        <v>0</v>
      </c>
      <c r="Y41" s="3">
        <v>51.399999999999991</v>
      </c>
      <c r="Z41" s="155"/>
      <c r="AA41" t="s">
        <v>25</v>
      </c>
      <c r="AB41" s="4"/>
    </row>
    <row r="42" spans="1:29" s="56" customFormat="1" x14ac:dyDescent="0.3">
      <c r="B42" s="11">
        <v>44189</v>
      </c>
      <c r="C42" s="63"/>
      <c r="E42" s="56" t="s">
        <v>75</v>
      </c>
      <c r="F42" s="42">
        <f>SUM(F37:F40)</f>
        <v>111</v>
      </c>
      <c r="G42" s="42">
        <f t="shared" ref="G42:Y42" si="11">SUM(G37:G40)</f>
        <v>64.349999999999994</v>
      </c>
      <c r="H42" s="42">
        <f t="shared" si="11"/>
        <v>9.02</v>
      </c>
      <c r="I42" s="42">
        <f t="shared" si="11"/>
        <v>4.99</v>
      </c>
      <c r="J42" s="42">
        <f t="shared" si="11"/>
        <v>1.39</v>
      </c>
      <c r="K42" s="42">
        <f t="shared" si="11"/>
        <v>0</v>
      </c>
      <c r="L42" s="42">
        <f t="shared" si="11"/>
        <v>0.49</v>
      </c>
      <c r="M42" s="42">
        <f t="shared" si="11"/>
        <v>6.1400000000000006</v>
      </c>
      <c r="N42" s="42">
        <f t="shared" si="11"/>
        <v>0</v>
      </c>
      <c r="O42" s="42">
        <f t="shared" si="11"/>
        <v>0.9</v>
      </c>
      <c r="P42" s="42">
        <f t="shared" si="11"/>
        <v>0</v>
      </c>
      <c r="Q42" s="42">
        <f t="shared" si="11"/>
        <v>18.649999999999999</v>
      </c>
      <c r="R42" s="42">
        <f t="shared" si="11"/>
        <v>0.53</v>
      </c>
      <c r="S42" s="42">
        <f t="shared" si="11"/>
        <v>0.1</v>
      </c>
      <c r="T42" s="42">
        <f t="shared" si="11"/>
        <v>17.159999999999997</v>
      </c>
      <c r="U42" s="42">
        <f t="shared" si="11"/>
        <v>4.32</v>
      </c>
      <c r="V42" s="42">
        <f t="shared" si="11"/>
        <v>0.66</v>
      </c>
      <c r="W42" s="42">
        <f t="shared" si="11"/>
        <v>0</v>
      </c>
      <c r="X42" s="42">
        <f t="shared" si="11"/>
        <v>0</v>
      </c>
      <c r="Y42" s="42">
        <f t="shared" si="11"/>
        <v>46.65</v>
      </c>
      <c r="Z42" s="64"/>
      <c r="AB42" s="66"/>
    </row>
    <row r="43" spans="1:29" s="56" customFormat="1" x14ac:dyDescent="0.3">
      <c r="B43" s="11">
        <v>44189</v>
      </c>
      <c r="C43" s="63">
        <v>1</v>
      </c>
      <c r="E43" s="56" t="s">
        <v>73</v>
      </c>
      <c r="F43" s="42">
        <f>SUMIF($D$37:$D$40,1,F37:F40)</f>
        <v>34.08</v>
      </c>
      <c r="G43" s="42">
        <f t="shared" ref="G43:Y43" si="12">SUMIF($D$37:$D$40,1,G37:G40)</f>
        <v>13.079999999999998</v>
      </c>
      <c r="H43" s="42">
        <f t="shared" si="12"/>
        <v>1.5999999999999999</v>
      </c>
      <c r="I43" s="42">
        <f t="shared" si="12"/>
        <v>0.05</v>
      </c>
      <c r="J43" s="42">
        <f t="shared" si="12"/>
        <v>0.05</v>
      </c>
      <c r="K43" s="42">
        <f t="shared" si="12"/>
        <v>0</v>
      </c>
      <c r="L43" s="42">
        <f t="shared" si="12"/>
        <v>0</v>
      </c>
      <c r="M43" s="42">
        <f t="shared" si="12"/>
        <v>0.8</v>
      </c>
      <c r="N43" s="42">
        <f t="shared" si="12"/>
        <v>0</v>
      </c>
      <c r="O43" s="42">
        <f t="shared" si="12"/>
        <v>0</v>
      </c>
      <c r="P43" s="42">
        <f t="shared" si="12"/>
        <v>0</v>
      </c>
      <c r="Q43" s="42">
        <f t="shared" si="12"/>
        <v>2.9</v>
      </c>
      <c r="R43" s="42">
        <f t="shared" si="12"/>
        <v>0.45</v>
      </c>
      <c r="S43" s="42">
        <f t="shared" si="12"/>
        <v>0.1</v>
      </c>
      <c r="T43" s="42">
        <f t="shared" si="12"/>
        <v>6.93</v>
      </c>
      <c r="U43" s="42">
        <f t="shared" si="12"/>
        <v>0.19999999999999998</v>
      </c>
      <c r="V43" s="42">
        <f t="shared" si="12"/>
        <v>0</v>
      </c>
      <c r="W43" s="42">
        <f t="shared" si="12"/>
        <v>0</v>
      </c>
      <c r="X43" s="42">
        <f t="shared" si="12"/>
        <v>0</v>
      </c>
      <c r="Y43" s="42">
        <f t="shared" si="12"/>
        <v>21</v>
      </c>
      <c r="Z43" s="64"/>
      <c r="AA43" s="42"/>
      <c r="AB43" s="66"/>
    </row>
    <row r="44" spans="1:29" s="56" customFormat="1" x14ac:dyDescent="0.3">
      <c r="B44" s="11">
        <v>44189</v>
      </c>
      <c r="C44" s="63">
        <v>2</v>
      </c>
      <c r="E44" s="56" t="s">
        <v>74</v>
      </c>
      <c r="F44" s="42">
        <f ca="1">SUMIF($D$37:$D$40,0,F37:F40)+SUMIF($D$37:$D$41,2,F37:F40)</f>
        <v>76.919999999999987</v>
      </c>
      <c r="G44" s="42">
        <f t="shared" ref="G44:Y44" ca="1" si="13">SUMIF($D$37:$D$40,0,G37:G40)+SUMIF($D$37:$D$41,2,G37:G40)</f>
        <v>51.269999999999996</v>
      </c>
      <c r="H44" s="42">
        <f t="shared" ca="1" si="13"/>
        <v>7.42</v>
      </c>
      <c r="I44" s="42">
        <f t="shared" ca="1" si="13"/>
        <v>4.9399999999999995</v>
      </c>
      <c r="J44" s="42">
        <f t="shared" ca="1" si="13"/>
        <v>1.3399999999999999</v>
      </c>
      <c r="K44" s="42">
        <f t="shared" ca="1" si="13"/>
        <v>0</v>
      </c>
      <c r="L44" s="42">
        <f t="shared" ca="1" si="13"/>
        <v>0.49</v>
      </c>
      <c r="M44" s="42">
        <f t="shared" ca="1" si="13"/>
        <v>5.34</v>
      </c>
      <c r="N44" s="42">
        <f t="shared" ca="1" si="13"/>
        <v>0</v>
      </c>
      <c r="O44" s="42">
        <f t="shared" ca="1" si="13"/>
        <v>0.9</v>
      </c>
      <c r="P44" s="42">
        <f t="shared" ca="1" si="13"/>
        <v>0</v>
      </c>
      <c r="Q44" s="42">
        <f t="shared" ca="1" si="13"/>
        <v>15.75</v>
      </c>
      <c r="R44" s="42">
        <f t="shared" ca="1" si="13"/>
        <v>0.08</v>
      </c>
      <c r="S44" s="42">
        <f t="shared" ca="1" si="13"/>
        <v>0</v>
      </c>
      <c r="T44" s="42">
        <f t="shared" ca="1" si="13"/>
        <v>10.23</v>
      </c>
      <c r="U44" s="42">
        <f t="shared" ca="1" si="13"/>
        <v>4.12</v>
      </c>
      <c r="V44" s="42">
        <f t="shared" ca="1" si="13"/>
        <v>0.66</v>
      </c>
      <c r="W44" s="42">
        <f t="shared" ca="1" si="13"/>
        <v>0</v>
      </c>
      <c r="X44" s="42">
        <f t="shared" ca="1" si="13"/>
        <v>0</v>
      </c>
      <c r="Y44" s="42">
        <f t="shared" ca="1" si="13"/>
        <v>25.65</v>
      </c>
      <c r="AA44" s="65"/>
      <c r="AB44" s="66"/>
    </row>
    <row r="45" spans="1:29" x14ac:dyDescent="0.3">
      <c r="C45" s="6"/>
      <c r="F45" s="3"/>
      <c r="G45" s="3"/>
      <c r="H45" s="3"/>
      <c r="I45" s="3"/>
      <c r="J45" s="3"/>
      <c r="K45" s="3"/>
      <c r="L45" s="3"/>
      <c r="M45" s="3"/>
      <c r="N45" s="3"/>
      <c r="O45" s="3"/>
      <c r="P45" s="3"/>
      <c r="Q45" s="3"/>
      <c r="R45" s="3"/>
      <c r="S45" s="3"/>
      <c r="T45" s="3"/>
      <c r="U45" s="3"/>
      <c r="V45" s="3"/>
      <c r="W45" s="3"/>
      <c r="X45" s="3"/>
      <c r="Y45" s="3"/>
      <c r="AA45" s="1"/>
      <c r="AB45" s="4"/>
    </row>
    <row r="46" spans="1:29" x14ac:dyDescent="0.3">
      <c r="A46">
        <v>1</v>
      </c>
      <c r="B46" s="11">
        <v>44191</v>
      </c>
      <c r="C46" s="6">
        <v>7</v>
      </c>
      <c r="D46">
        <v>2</v>
      </c>
      <c r="E46">
        <v>1</v>
      </c>
      <c r="F46" s="3">
        <f t="shared" si="0"/>
        <v>3.2800000000000002</v>
      </c>
      <c r="G46" s="3">
        <f t="shared" si="1"/>
        <v>3.2800000000000002</v>
      </c>
      <c r="H46" s="3">
        <v>1</v>
      </c>
      <c r="I46" s="3">
        <v>0.49</v>
      </c>
      <c r="J46" s="3">
        <v>0.49</v>
      </c>
      <c r="K46" s="3">
        <v>0</v>
      </c>
      <c r="L46" s="3">
        <v>0</v>
      </c>
      <c r="M46" s="3">
        <v>0</v>
      </c>
      <c r="N46" s="3">
        <v>0</v>
      </c>
      <c r="O46" s="3">
        <v>0</v>
      </c>
      <c r="P46" s="3">
        <v>0</v>
      </c>
      <c r="Q46" s="3">
        <v>0</v>
      </c>
      <c r="R46" s="3">
        <v>0</v>
      </c>
      <c r="S46" s="3">
        <v>0</v>
      </c>
      <c r="T46" s="3">
        <v>1.3</v>
      </c>
      <c r="U46" s="3">
        <v>0</v>
      </c>
      <c r="V46" s="3">
        <v>0</v>
      </c>
      <c r="W46" s="3">
        <v>0</v>
      </c>
      <c r="X46" s="3">
        <v>0</v>
      </c>
      <c r="Y46" s="3">
        <v>0</v>
      </c>
      <c r="Z46" s="155" t="s">
        <v>65</v>
      </c>
      <c r="AC46" s="4"/>
    </row>
    <row r="47" spans="1:29" x14ac:dyDescent="0.3">
      <c r="A47">
        <v>2</v>
      </c>
      <c r="B47" s="11">
        <v>44191</v>
      </c>
      <c r="C47" s="6">
        <v>7</v>
      </c>
      <c r="D47">
        <v>1</v>
      </c>
      <c r="E47">
        <v>1</v>
      </c>
      <c r="F47" s="3">
        <f t="shared" si="0"/>
        <v>21.46</v>
      </c>
      <c r="G47" s="3">
        <f t="shared" si="1"/>
        <v>8.5599999999999987</v>
      </c>
      <c r="H47" s="3">
        <v>0</v>
      </c>
      <c r="I47" s="3">
        <v>3.1999999999999997</v>
      </c>
      <c r="J47" s="3">
        <v>1.52</v>
      </c>
      <c r="K47" s="3">
        <v>0</v>
      </c>
      <c r="L47" s="3">
        <v>0</v>
      </c>
      <c r="M47" s="3">
        <v>0</v>
      </c>
      <c r="N47" s="3">
        <v>0</v>
      </c>
      <c r="O47" s="3">
        <v>0</v>
      </c>
      <c r="P47" s="3">
        <v>0</v>
      </c>
      <c r="Q47" s="3">
        <v>0.98</v>
      </c>
      <c r="R47" s="3">
        <v>0</v>
      </c>
      <c r="S47" s="3">
        <v>0</v>
      </c>
      <c r="T47" s="3">
        <v>1.1399999999999999</v>
      </c>
      <c r="U47" s="3">
        <v>1.5999999999999999</v>
      </c>
      <c r="V47" s="3">
        <v>0</v>
      </c>
      <c r="W47" s="3">
        <v>0.12</v>
      </c>
      <c r="X47" s="3">
        <v>0</v>
      </c>
      <c r="Y47" s="3">
        <v>12.9</v>
      </c>
      <c r="Z47" s="155"/>
      <c r="AA47" s="1"/>
      <c r="AB47" s="4"/>
      <c r="AC47" s="4"/>
    </row>
    <row r="48" spans="1:29" x14ac:dyDescent="0.3">
      <c r="A48">
        <v>2</v>
      </c>
      <c r="B48" s="11">
        <v>44191</v>
      </c>
      <c r="C48" s="6">
        <v>7</v>
      </c>
      <c r="D48">
        <v>2</v>
      </c>
      <c r="E48">
        <v>1</v>
      </c>
      <c r="F48" s="3">
        <f t="shared" si="0"/>
        <v>28.93</v>
      </c>
      <c r="G48" s="3">
        <f t="shared" si="1"/>
        <v>7.93</v>
      </c>
      <c r="H48" s="3">
        <v>0</v>
      </c>
      <c r="I48" s="3">
        <v>2.5</v>
      </c>
      <c r="J48" s="3">
        <v>0.64</v>
      </c>
      <c r="K48" s="3">
        <v>0</v>
      </c>
      <c r="L48" s="3">
        <v>0.3</v>
      </c>
      <c r="M48" s="3">
        <v>0</v>
      </c>
      <c r="N48" s="3">
        <v>0</v>
      </c>
      <c r="O48" s="3">
        <v>0</v>
      </c>
      <c r="P48" s="3">
        <v>0</v>
      </c>
      <c r="Q48" s="3">
        <v>0</v>
      </c>
      <c r="R48" s="3">
        <v>0.49</v>
      </c>
      <c r="S48" s="3">
        <v>0</v>
      </c>
      <c r="T48" s="3">
        <v>1</v>
      </c>
      <c r="U48" s="3">
        <v>3</v>
      </c>
      <c r="V48" s="3">
        <v>0</v>
      </c>
      <c r="W48" s="3">
        <v>0</v>
      </c>
      <c r="X48" s="3">
        <v>0</v>
      </c>
      <c r="Y48" s="3">
        <v>21</v>
      </c>
      <c r="Z48" s="155"/>
      <c r="AC48" s="4"/>
    </row>
    <row r="49" spans="1:29" x14ac:dyDescent="0.3">
      <c r="A49">
        <v>3</v>
      </c>
      <c r="B49" s="11">
        <v>44191</v>
      </c>
      <c r="C49" s="6">
        <v>7</v>
      </c>
      <c r="D49">
        <v>1</v>
      </c>
      <c r="E49">
        <v>1</v>
      </c>
      <c r="F49" s="3">
        <f t="shared" si="0"/>
        <v>11.79</v>
      </c>
      <c r="G49" s="3">
        <f t="shared" si="1"/>
        <v>4.1899999999999995</v>
      </c>
      <c r="H49" s="3">
        <v>0.8</v>
      </c>
      <c r="I49" s="3">
        <v>0.17499999999999999</v>
      </c>
      <c r="J49" s="3">
        <v>0.17499999999999999</v>
      </c>
      <c r="K49" s="3">
        <v>0</v>
      </c>
      <c r="L49" s="3">
        <v>0.05</v>
      </c>
      <c r="M49" s="3">
        <v>0</v>
      </c>
      <c r="N49" s="3">
        <v>0</v>
      </c>
      <c r="O49" s="3">
        <v>0</v>
      </c>
      <c r="P49" s="3">
        <v>0</v>
      </c>
      <c r="Q49" s="3">
        <v>0</v>
      </c>
      <c r="R49" s="3">
        <v>0.15</v>
      </c>
      <c r="S49" s="3">
        <v>0</v>
      </c>
      <c r="T49" s="3">
        <v>2.74</v>
      </c>
      <c r="U49" s="3">
        <v>0.1</v>
      </c>
      <c r="V49" s="3">
        <v>0</v>
      </c>
      <c r="W49" s="3">
        <v>0</v>
      </c>
      <c r="X49" s="3">
        <v>0</v>
      </c>
      <c r="Y49" s="3">
        <v>7.6000000000000005</v>
      </c>
      <c r="Z49" s="155"/>
      <c r="AA49" s="1"/>
      <c r="AB49" s="4"/>
      <c r="AC49" s="4"/>
    </row>
    <row r="50" spans="1:29" x14ac:dyDescent="0.3">
      <c r="A50">
        <v>3</v>
      </c>
      <c r="B50" s="11">
        <v>44191</v>
      </c>
      <c r="C50" s="6">
        <v>7</v>
      </c>
      <c r="D50">
        <v>2</v>
      </c>
      <c r="E50">
        <v>1</v>
      </c>
      <c r="F50" s="3">
        <f t="shared" si="0"/>
        <v>0</v>
      </c>
      <c r="G50" s="3">
        <f t="shared" si="1"/>
        <v>0</v>
      </c>
      <c r="H50" s="3">
        <v>0</v>
      </c>
      <c r="I50" s="3">
        <v>0</v>
      </c>
      <c r="J50" s="3">
        <v>0</v>
      </c>
      <c r="K50" s="3">
        <v>0</v>
      </c>
      <c r="L50" s="3">
        <v>0</v>
      </c>
      <c r="M50" s="3">
        <v>0</v>
      </c>
      <c r="N50" s="3">
        <v>0</v>
      </c>
      <c r="O50" s="3">
        <v>0</v>
      </c>
      <c r="P50" s="3">
        <v>0</v>
      </c>
      <c r="Q50" s="3">
        <v>0</v>
      </c>
      <c r="R50" s="3">
        <v>0</v>
      </c>
      <c r="S50" s="3">
        <v>0</v>
      </c>
      <c r="T50" s="3">
        <v>0</v>
      </c>
      <c r="U50" s="3">
        <v>0</v>
      </c>
      <c r="V50" s="3">
        <v>0</v>
      </c>
      <c r="W50" s="3">
        <v>0</v>
      </c>
      <c r="X50" s="3">
        <v>0</v>
      </c>
      <c r="Y50" s="3">
        <v>0</v>
      </c>
      <c r="Z50" s="155"/>
      <c r="AC50" s="4"/>
    </row>
    <row r="51" spans="1:29" x14ac:dyDescent="0.3">
      <c r="A51">
        <v>4</v>
      </c>
      <c r="B51" s="11">
        <v>44191</v>
      </c>
      <c r="C51" s="6">
        <v>7</v>
      </c>
      <c r="D51">
        <v>1</v>
      </c>
      <c r="E51">
        <v>1</v>
      </c>
      <c r="F51" s="3">
        <f t="shared" si="0"/>
        <v>3.5</v>
      </c>
      <c r="G51" s="3">
        <f t="shared" si="1"/>
        <v>2.2999999999999998</v>
      </c>
      <c r="H51" s="3">
        <v>0</v>
      </c>
      <c r="I51" s="3">
        <v>1</v>
      </c>
      <c r="J51" s="3">
        <v>0</v>
      </c>
      <c r="K51" s="3">
        <v>0</v>
      </c>
      <c r="L51" s="3">
        <v>0.2</v>
      </c>
      <c r="M51" s="3">
        <v>0</v>
      </c>
      <c r="N51" s="3">
        <v>0</v>
      </c>
      <c r="O51" s="3">
        <v>0</v>
      </c>
      <c r="P51" s="3">
        <v>0</v>
      </c>
      <c r="Q51" s="3">
        <v>0</v>
      </c>
      <c r="R51" s="3">
        <v>0</v>
      </c>
      <c r="S51" s="3">
        <v>0</v>
      </c>
      <c r="T51" s="3">
        <v>1.1000000000000001</v>
      </c>
      <c r="U51" s="3">
        <v>0</v>
      </c>
      <c r="V51" s="3">
        <v>0</v>
      </c>
      <c r="W51" s="3">
        <v>0</v>
      </c>
      <c r="X51" s="3">
        <v>0</v>
      </c>
      <c r="Y51" s="3">
        <v>1.2000000000000002</v>
      </c>
      <c r="Z51" s="155"/>
      <c r="AA51" s="1"/>
      <c r="AB51" s="4"/>
      <c r="AC51" s="4"/>
    </row>
    <row r="52" spans="1:29" x14ac:dyDescent="0.3">
      <c r="A52">
        <v>4</v>
      </c>
      <c r="B52" s="11">
        <v>44191</v>
      </c>
      <c r="C52" s="6">
        <v>7</v>
      </c>
      <c r="D52">
        <v>2</v>
      </c>
      <c r="E52">
        <v>1</v>
      </c>
      <c r="F52" s="3">
        <f t="shared" si="0"/>
        <v>3.4899999999999998</v>
      </c>
      <c r="G52" s="3">
        <f t="shared" si="1"/>
        <v>3.4899999999999998</v>
      </c>
      <c r="H52" s="3">
        <f>0.31+0.4</f>
        <v>0.71</v>
      </c>
      <c r="I52" s="3">
        <v>0.2</v>
      </c>
      <c r="J52" s="3">
        <v>0</v>
      </c>
      <c r="K52" s="3">
        <v>0</v>
      </c>
      <c r="L52" s="3">
        <v>0.05</v>
      </c>
      <c r="M52" s="3">
        <v>0.4</v>
      </c>
      <c r="N52" s="3">
        <v>0</v>
      </c>
      <c r="O52" s="3">
        <v>0.2</v>
      </c>
      <c r="P52" s="3">
        <v>0</v>
      </c>
      <c r="Q52" s="3">
        <f>0.96+0.7</f>
        <v>1.66</v>
      </c>
      <c r="R52" s="3">
        <v>0.02</v>
      </c>
      <c r="S52" s="3">
        <v>0</v>
      </c>
      <c r="T52" s="3">
        <v>0</v>
      </c>
      <c r="U52" s="3">
        <v>0.25</v>
      </c>
      <c r="V52" s="3">
        <v>0</v>
      </c>
      <c r="W52" s="3">
        <v>0</v>
      </c>
      <c r="X52" s="3">
        <v>0</v>
      </c>
      <c r="Y52" s="3">
        <v>0</v>
      </c>
      <c r="Z52" s="155"/>
      <c r="AC52" s="4"/>
    </row>
    <row r="53" spans="1:29" x14ac:dyDescent="0.3">
      <c r="A53">
        <v>5</v>
      </c>
      <c r="B53" s="11">
        <v>44191</v>
      </c>
      <c r="C53" s="6">
        <v>7</v>
      </c>
      <c r="D53">
        <v>1</v>
      </c>
      <c r="E53">
        <v>1</v>
      </c>
      <c r="F53" s="3">
        <f t="shared" si="0"/>
        <v>94.1</v>
      </c>
      <c r="G53" s="3">
        <f t="shared" si="1"/>
        <v>32.5</v>
      </c>
      <c r="H53" s="4">
        <v>10.7</v>
      </c>
      <c r="I53" s="4">
        <v>2.6</v>
      </c>
      <c r="J53" s="4">
        <v>1</v>
      </c>
      <c r="K53" s="4">
        <v>0</v>
      </c>
      <c r="L53" s="4">
        <v>0</v>
      </c>
      <c r="M53" s="4">
        <f>0.7+2</f>
        <v>2.7</v>
      </c>
      <c r="N53" s="4">
        <v>0</v>
      </c>
      <c r="O53" s="4">
        <v>0</v>
      </c>
      <c r="P53" s="4">
        <v>1.2</v>
      </c>
      <c r="Q53" s="4">
        <v>1.9</v>
      </c>
      <c r="R53" s="4">
        <v>0.8</v>
      </c>
      <c r="S53" s="4">
        <v>0</v>
      </c>
      <c r="T53" s="4">
        <f>3.4+1.6+3.2+0.9</f>
        <v>9.1</v>
      </c>
      <c r="U53" s="4">
        <v>2.5</v>
      </c>
      <c r="V53" s="4">
        <v>0</v>
      </c>
      <c r="W53" s="4">
        <v>0</v>
      </c>
      <c r="X53" s="4">
        <v>0</v>
      </c>
      <c r="Y53" s="4">
        <f>60.4+1.2</f>
        <v>61.6</v>
      </c>
      <c r="Z53" s="155"/>
      <c r="AA53" s="1"/>
      <c r="AB53" s="4"/>
      <c r="AC53" s="4"/>
    </row>
    <row r="54" spans="1:29" x14ac:dyDescent="0.3">
      <c r="A54">
        <v>5</v>
      </c>
      <c r="B54" s="11">
        <v>44191</v>
      </c>
      <c r="C54" s="6">
        <v>7</v>
      </c>
      <c r="D54">
        <v>2</v>
      </c>
      <c r="E54">
        <v>1</v>
      </c>
      <c r="F54" s="3">
        <f t="shared" si="0"/>
        <v>110.22999999999999</v>
      </c>
      <c r="G54" s="3">
        <f t="shared" si="1"/>
        <v>55.03</v>
      </c>
      <c r="H54" s="4">
        <f>10.2-0.8</f>
        <v>9.3999999999999986</v>
      </c>
      <c r="I54" s="4">
        <f>(3.58+2.7+1.2)-(0.5+0.5+0.4)</f>
        <v>6.08</v>
      </c>
      <c r="J54" s="4">
        <f>1.6+1.1-0.5-0.4</f>
        <v>1.8000000000000003</v>
      </c>
      <c r="K54" s="4">
        <v>0</v>
      </c>
      <c r="L54" s="4">
        <f>0.6+1.5-0.3-0.4</f>
        <v>1.4</v>
      </c>
      <c r="M54" s="4">
        <f>0.5+1.1</f>
        <v>1.6</v>
      </c>
      <c r="N54" s="4">
        <v>0</v>
      </c>
      <c r="O54" s="4">
        <v>0</v>
      </c>
      <c r="P54" s="4">
        <f>1.3-0.5</f>
        <v>0.8</v>
      </c>
      <c r="Q54" s="4">
        <f>2.5</f>
        <v>2.5</v>
      </c>
      <c r="R54" s="4">
        <f>0.1+0.6-0.4</f>
        <v>0.29999999999999993</v>
      </c>
      <c r="S54" s="4">
        <f>11.4-0.76</f>
        <v>10.64</v>
      </c>
      <c r="T54" s="4">
        <f>3.2+2.78+2.5+7.6+1.8-0.52-0.5-5.4+0.5</f>
        <v>11.959999999999999</v>
      </c>
      <c r="U54" s="4">
        <f>1.6+2.92+1.7-0.5-1.9-0.5</f>
        <v>3.32</v>
      </c>
      <c r="V54" s="4">
        <v>0</v>
      </c>
      <c r="W54" s="4">
        <f>2.95+2.28</f>
        <v>5.23</v>
      </c>
      <c r="X54" s="4">
        <v>0</v>
      </c>
      <c r="Y54" s="4">
        <f>38+27.6-5.2-5.2</f>
        <v>55.199999999999989</v>
      </c>
      <c r="Z54" s="155"/>
      <c r="AC54" s="4"/>
    </row>
    <row r="55" spans="1:29" x14ac:dyDescent="0.3">
      <c r="A55">
        <v>6</v>
      </c>
      <c r="B55" s="11">
        <v>44191</v>
      </c>
      <c r="C55" s="6">
        <v>7</v>
      </c>
      <c r="D55">
        <v>0</v>
      </c>
      <c r="E55">
        <v>1</v>
      </c>
      <c r="F55" s="3">
        <f t="shared" si="0"/>
        <v>210.42000000000002</v>
      </c>
      <c r="G55" s="3">
        <f t="shared" si="1"/>
        <v>101.37</v>
      </c>
      <c r="H55" s="3">
        <v>15.5</v>
      </c>
      <c r="I55" s="3">
        <v>0.77500000000000002</v>
      </c>
      <c r="J55" s="3">
        <v>0.77500000000000002</v>
      </c>
      <c r="K55" s="3">
        <v>0</v>
      </c>
      <c r="L55" s="3">
        <v>2.37</v>
      </c>
      <c r="M55" s="3">
        <v>14.31</v>
      </c>
      <c r="N55" s="3">
        <v>0</v>
      </c>
      <c r="O55" s="3">
        <v>0.5</v>
      </c>
      <c r="P55" s="3">
        <v>0</v>
      </c>
      <c r="Q55" s="3">
        <v>0</v>
      </c>
      <c r="R55" s="3">
        <v>3.46</v>
      </c>
      <c r="S55" s="3">
        <v>54.9</v>
      </c>
      <c r="T55" s="3">
        <v>4.3</v>
      </c>
      <c r="U55" s="3">
        <v>3.5399999999999991</v>
      </c>
      <c r="V55" s="3">
        <v>0</v>
      </c>
      <c r="W55" s="3">
        <v>0.94</v>
      </c>
      <c r="X55" s="3">
        <v>0</v>
      </c>
      <c r="Y55" s="3">
        <v>109.05</v>
      </c>
      <c r="Z55" s="155"/>
      <c r="AA55" t="s">
        <v>26</v>
      </c>
      <c r="AB55" s="4"/>
    </row>
    <row r="56" spans="1:29" s="56" customFormat="1" x14ac:dyDescent="0.3">
      <c r="B56" s="11">
        <v>44191</v>
      </c>
      <c r="C56" s="63"/>
      <c r="E56" s="56" t="s">
        <v>75</v>
      </c>
      <c r="F56" s="42">
        <f>SUM(F46:F54)</f>
        <v>276.77999999999997</v>
      </c>
      <c r="G56" s="42">
        <f>SUM(G46:G54)</f>
        <v>117.28</v>
      </c>
      <c r="H56" s="42">
        <f t="shared" ref="H56:Y56" si="14">SUM(H46:H54)</f>
        <v>22.61</v>
      </c>
      <c r="I56" s="42">
        <f t="shared" si="14"/>
        <v>16.244999999999997</v>
      </c>
      <c r="J56" s="42">
        <f t="shared" si="14"/>
        <v>5.625</v>
      </c>
      <c r="K56" s="42">
        <f t="shared" si="14"/>
        <v>0</v>
      </c>
      <c r="L56" s="42">
        <f t="shared" si="14"/>
        <v>2</v>
      </c>
      <c r="M56" s="42">
        <f t="shared" si="14"/>
        <v>4.7</v>
      </c>
      <c r="N56" s="42">
        <f t="shared" si="14"/>
        <v>0</v>
      </c>
      <c r="O56" s="42">
        <f t="shared" si="14"/>
        <v>0.2</v>
      </c>
      <c r="P56" s="42">
        <f t="shared" si="14"/>
        <v>2</v>
      </c>
      <c r="Q56" s="42">
        <f t="shared" si="14"/>
        <v>7.0399999999999991</v>
      </c>
      <c r="R56" s="42">
        <f t="shared" si="14"/>
        <v>1.7599999999999998</v>
      </c>
      <c r="S56" s="42">
        <f t="shared" si="14"/>
        <v>10.64</v>
      </c>
      <c r="T56" s="42">
        <f t="shared" si="14"/>
        <v>28.339999999999996</v>
      </c>
      <c r="U56" s="42">
        <f t="shared" si="14"/>
        <v>10.77</v>
      </c>
      <c r="V56" s="42">
        <f t="shared" si="14"/>
        <v>0</v>
      </c>
      <c r="W56" s="42">
        <f t="shared" si="14"/>
        <v>5.3500000000000005</v>
      </c>
      <c r="X56" s="42">
        <f t="shared" si="14"/>
        <v>0</v>
      </c>
      <c r="Y56" s="42">
        <f t="shared" si="14"/>
        <v>159.5</v>
      </c>
      <c r="Z56" s="64"/>
      <c r="AB56" s="66"/>
    </row>
    <row r="57" spans="1:29" s="56" customFormat="1" x14ac:dyDescent="0.3">
      <c r="B57" s="11">
        <v>44191</v>
      </c>
      <c r="C57" s="63">
        <v>1</v>
      </c>
      <c r="E57" s="56" t="s">
        <v>73</v>
      </c>
      <c r="F57" s="42">
        <f>SUMIF($D$46:$D$54,1,F46:F54)</f>
        <v>130.85</v>
      </c>
      <c r="G57" s="42">
        <f>SUMIF($D$46:$D$54,1,G46:G54)</f>
        <v>47.55</v>
      </c>
      <c r="H57" s="42">
        <f t="shared" ref="H57:Y57" si="15">SUMIF($D$46:$D$54,1,H46:H54)</f>
        <v>11.5</v>
      </c>
      <c r="I57" s="42">
        <f t="shared" si="15"/>
        <v>6.9749999999999996</v>
      </c>
      <c r="J57" s="42">
        <f t="shared" si="15"/>
        <v>2.6950000000000003</v>
      </c>
      <c r="K57" s="42">
        <f t="shared" si="15"/>
        <v>0</v>
      </c>
      <c r="L57" s="42">
        <f t="shared" si="15"/>
        <v>0.25</v>
      </c>
      <c r="M57" s="42">
        <f t="shared" si="15"/>
        <v>2.7</v>
      </c>
      <c r="N57" s="42">
        <f t="shared" si="15"/>
        <v>0</v>
      </c>
      <c r="O57" s="42">
        <f t="shared" si="15"/>
        <v>0</v>
      </c>
      <c r="P57" s="42">
        <f t="shared" si="15"/>
        <v>1.2</v>
      </c>
      <c r="Q57" s="42">
        <f t="shared" si="15"/>
        <v>2.88</v>
      </c>
      <c r="R57" s="42">
        <f t="shared" si="15"/>
        <v>0.95000000000000007</v>
      </c>
      <c r="S57" s="42">
        <f t="shared" si="15"/>
        <v>0</v>
      </c>
      <c r="T57" s="42">
        <f t="shared" si="15"/>
        <v>14.08</v>
      </c>
      <c r="U57" s="42">
        <f t="shared" si="15"/>
        <v>4.2</v>
      </c>
      <c r="V57" s="42">
        <f t="shared" si="15"/>
        <v>0</v>
      </c>
      <c r="W57" s="42">
        <f t="shared" si="15"/>
        <v>0.12</v>
      </c>
      <c r="X57" s="42">
        <f t="shared" si="15"/>
        <v>0</v>
      </c>
      <c r="Y57" s="42">
        <f t="shared" si="15"/>
        <v>83.3</v>
      </c>
      <c r="Z57" s="64"/>
      <c r="AA57" s="42"/>
      <c r="AB57" s="66"/>
    </row>
    <row r="58" spans="1:29" s="56" customFormat="1" x14ac:dyDescent="0.3">
      <c r="B58" s="11">
        <v>44191</v>
      </c>
      <c r="C58" s="63">
        <v>2</v>
      </c>
      <c r="E58" s="56" t="s">
        <v>74</v>
      </c>
      <c r="F58" s="42">
        <f>SUMIF($D$46:$D$54,0,F46:F54)+SUMIF($D$46:$D$55,2,F46:F55)</f>
        <v>145.93</v>
      </c>
      <c r="G58" s="42">
        <f>SUMIF($D$46:$D$54,0,G46:G54)+SUMIF($D$46:$D$55,2,G46:G55)</f>
        <v>69.73</v>
      </c>
      <c r="H58" s="42">
        <f t="shared" ref="H58:Y58" si="16">SUMIF($D$46:$D$54,0,H46:H54)+SUMIF($D$46:$D$55,2,H46:H55)</f>
        <v>11.11</v>
      </c>
      <c r="I58" s="42">
        <f t="shared" si="16"/>
        <v>9.27</v>
      </c>
      <c r="J58" s="42">
        <f t="shared" si="16"/>
        <v>2.93</v>
      </c>
      <c r="K58" s="42">
        <f t="shared" si="16"/>
        <v>0</v>
      </c>
      <c r="L58" s="42">
        <f t="shared" si="16"/>
        <v>1.75</v>
      </c>
      <c r="M58" s="42">
        <f t="shared" si="16"/>
        <v>2</v>
      </c>
      <c r="N58" s="42">
        <f t="shared" si="16"/>
        <v>0</v>
      </c>
      <c r="O58" s="42">
        <f t="shared" si="16"/>
        <v>0.2</v>
      </c>
      <c r="P58" s="42">
        <f t="shared" si="16"/>
        <v>0.8</v>
      </c>
      <c r="Q58" s="42">
        <f t="shared" si="16"/>
        <v>4.16</v>
      </c>
      <c r="R58" s="42">
        <f t="shared" si="16"/>
        <v>0.80999999999999994</v>
      </c>
      <c r="S58" s="42">
        <f t="shared" si="16"/>
        <v>10.64</v>
      </c>
      <c r="T58" s="42">
        <f t="shared" si="16"/>
        <v>14.259999999999998</v>
      </c>
      <c r="U58" s="42">
        <f t="shared" si="16"/>
        <v>6.57</v>
      </c>
      <c r="V58" s="42">
        <f t="shared" si="16"/>
        <v>0</v>
      </c>
      <c r="W58" s="42">
        <f t="shared" si="16"/>
        <v>5.23</v>
      </c>
      <c r="X58" s="42">
        <f t="shared" si="16"/>
        <v>0</v>
      </c>
      <c r="Y58" s="42">
        <f t="shared" si="16"/>
        <v>76.199999999999989</v>
      </c>
      <c r="AB58" s="66"/>
    </row>
    <row r="59" spans="1:29" x14ac:dyDescent="0.3">
      <c r="C59" s="6"/>
      <c r="F59" s="3"/>
      <c r="G59" s="3"/>
      <c r="H59" s="3"/>
      <c r="I59" s="3"/>
      <c r="J59" s="3"/>
      <c r="K59" s="3"/>
      <c r="L59" s="3"/>
      <c r="M59" s="3"/>
      <c r="N59" s="3"/>
      <c r="O59" s="3"/>
      <c r="P59" s="3"/>
      <c r="Q59" s="3"/>
      <c r="R59" s="3"/>
      <c r="S59" s="3"/>
      <c r="T59" s="3"/>
      <c r="U59" s="3"/>
      <c r="V59" s="3"/>
      <c r="W59" s="3"/>
      <c r="X59" s="3"/>
      <c r="Y59" s="3"/>
      <c r="AB59" s="4"/>
    </row>
    <row r="60" spans="1:29" x14ac:dyDescent="0.3">
      <c r="A60">
        <v>1</v>
      </c>
      <c r="B60" s="11">
        <v>44192</v>
      </c>
      <c r="C60" s="6">
        <v>1</v>
      </c>
      <c r="D60">
        <v>1</v>
      </c>
      <c r="E60">
        <v>1</v>
      </c>
      <c r="F60" s="3">
        <f t="shared" si="0"/>
        <v>10.615</v>
      </c>
      <c r="G60" s="3">
        <f t="shared" si="1"/>
        <v>4.2149999999999999</v>
      </c>
      <c r="H60" s="3">
        <f>0.8</f>
        <v>0.8</v>
      </c>
      <c r="I60" s="3">
        <f>0.29</f>
        <v>0.28999999999999998</v>
      </c>
      <c r="J60" s="3">
        <v>0</v>
      </c>
      <c r="K60" s="3">
        <v>0</v>
      </c>
      <c r="L60" s="3">
        <f>0.42/2</f>
        <v>0.21</v>
      </c>
      <c r="M60" s="3">
        <f>0.42/2</f>
        <v>0.21</v>
      </c>
      <c r="N60" s="3">
        <v>0</v>
      </c>
      <c r="O60" s="3">
        <f>0.125</f>
        <v>0.125</v>
      </c>
      <c r="P60" s="3">
        <v>0</v>
      </c>
      <c r="Q60" s="3">
        <v>0</v>
      </c>
      <c r="R60" s="3">
        <f>1.39</f>
        <v>1.39</v>
      </c>
      <c r="S60" s="3">
        <v>0.4</v>
      </c>
      <c r="T60" s="3">
        <v>0</v>
      </c>
      <c r="U60" s="3">
        <f>0.38</f>
        <v>0.38</v>
      </c>
      <c r="V60" s="3">
        <v>0</v>
      </c>
      <c r="W60" s="3">
        <f>0.2+0.21</f>
        <v>0.41000000000000003</v>
      </c>
      <c r="X60" s="3">
        <v>0</v>
      </c>
      <c r="Y60" s="3">
        <f>3.8+2.8-0.1-0.1</f>
        <v>6.4</v>
      </c>
      <c r="Z60" s="155" t="s">
        <v>66</v>
      </c>
      <c r="AA60" s="4"/>
    </row>
    <row r="61" spans="1:29" x14ac:dyDescent="0.3">
      <c r="A61">
        <v>2</v>
      </c>
      <c r="B61" s="11">
        <v>44192</v>
      </c>
      <c r="C61" s="6">
        <v>1</v>
      </c>
      <c r="D61">
        <v>1</v>
      </c>
      <c r="E61">
        <v>1</v>
      </c>
      <c r="F61" s="3">
        <f t="shared" si="0"/>
        <v>26.46</v>
      </c>
      <c r="G61" s="3">
        <f t="shared" si="1"/>
        <v>10.76</v>
      </c>
      <c r="H61" s="3">
        <f>0.6+0.7</f>
        <v>1.2999999999999998</v>
      </c>
      <c r="I61" s="3">
        <f>1.8-0.5</f>
        <v>1.3</v>
      </c>
      <c r="J61" s="3">
        <f>1.06-0.1</f>
        <v>0.96000000000000008</v>
      </c>
      <c r="K61" s="3">
        <v>0</v>
      </c>
      <c r="L61" s="3">
        <v>0.26</v>
      </c>
      <c r="M61" s="3">
        <f>0.72</f>
        <v>0.72</v>
      </c>
      <c r="N61" s="3">
        <v>0</v>
      </c>
      <c r="O61" s="3">
        <f>1.12+0.18-0.1</f>
        <v>1.2</v>
      </c>
      <c r="P61" s="3">
        <v>0</v>
      </c>
      <c r="Q61" s="3">
        <f>0.22+0.18+0.5+0.2</f>
        <v>1.1000000000000001</v>
      </c>
      <c r="R61" s="3">
        <f>0.24</f>
        <v>0.24</v>
      </c>
      <c r="S61" s="3">
        <v>0.38</v>
      </c>
      <c r="T61" s="3">
        <f>2.2-0.1</f>
        <v>2.1</v>
      </c>
      <c r="U61" s="3">
        <f>1.4-0.2</f>
        <v>1.2</v>
      </c>
      <c r="V61" s="3">
        <v>0</v>
      </c>
      <c r="W61" s="3">
        <v>0</v>
      </c>
      <c r="X61" s="3">
        <v>0</v>
      </c>
      <c r="Y61" s="3">
        <f>15.8-0.1</f>
        <v>15.700000000000001</v>
      </c>
      <c r="Z61" s="155"/>
      <c r="AA61" s="4"/>
    </row>
    <row r="62" spans="1:29" x14ac:dyDescent="0.3">
      <c r="A62">
        <v>5</v>
      </c>
      <c r="B62" s="11">
        <v>44192</v>
      </c>
      <c r="C62" s="6">
        <v>1</v>
      </c>
      <c r="D62">
        <v>1</v>
      </c>
      <c r="E62">
        <v>1</v>
      </c>
      <c r="F62" s="3">
        <f t="shared" si="0"/>
        <v>96.66</v>
      </c>
      <c r="G62" s="3">
        <f t="shared" si="1"/>
        <v>34.26</v>
      </c>
      <c r="H62" s="3">
        <f>8.2-0.5</f>
        <v>7.6999999999999993</v>
      </c>
      <c r="I62" s="3">
        <f>2.79-0.38</f>
        <v>2.41</v>
      </c>
      <c r="J62" s="3">
        <f>1.8-0.38</f>
        <v>1.42</v>
      </c>
      <c r="K62" s="3">
        <v>0</v>
      </c>
      <c r="L62" s="3">
        <f>1.48-0.62</f>
        <v>0.86</v>
      </c>
      <c r="M62" s="3">
        <f>4.38-0.78</f>
        <v>3.5999999999999996</v>
      </c>
      <c r="N62" s="3">
        <v>0</v>
      </c>
      <c r="O62" s="3">
        <f>2.24-0.44</f>
        <v>1.8000000000000003</v>
      </c>
      <c r="P62" s="3">
        <v>0</v>
      </c>
      <c r="Q62" s="3">
        <f>4.45</f>
        <v>4.45</v>
      </c>
      <c r="R62" s="3">
        <f>1.8-0.78</f>
        <v>1.02</v>
      </c>
      <c r="S62" s="3">
        <v>0</v>
      </c>
      <c r="T62" s="3">
        <f>1.35+0.5+1.8+2.55</f>
        <v>6.2</v>
      </c>
      <c r="U62" s="3">
        <f>2.6-0.54</f>
        <v>2.06</v>
      </c>
      <c r="V62" s="3">
        <v>0</v>
      </c>
      <c r="W62" s="3">
        <f>3.36-0.62</f>
        <v>2.7399999999999998</v>
      </c>
      <c r="X62" s="3">
        <v>0</v>
      </c>
      <c r="Y62" s="3">
        <f>37.25+25+ 14.6-4.85-4.75-4.85</f>
        <v>62.4</v>
      </c>
      <c r="Z62" s="155"/>
      <c r="AB62" s="4"/>
    </row>
    <row r="63" spans="1:29" x14ac:dyDescent="0.3">
      <c r="A63">
        <v>6</v>
      </c>
      <c r="B63" s="11">
        <v>44192</v>
      </c>
      <c r="C63" s="6">
        <v>1</v>
      </c>
      <c r="D63">
        <v>1</v>
      </c>
      <c r="E63">
        <v>1</v>
      </c>
      <c r="F63" s="3">
        <f t="shared" si="0"/>
        <v>180.7</v>
      </c>
      <c r="G63" s="3">
        <f t="shared" si="1"/>
        <v>75.000000000000014</v>
      </c>
      <c r="H63" s="3">
        <f>9.8-0.55</f>
        <v>9.25</v>
      </c>
      <c r="I63" s="3">
        <f>1.3/3*2</f>
        <v>0.8666666666666667</v>
      </c>
      <c r="J63" s="3">
        <f>1.3/3*1</f>
        <v>0.43333333333333335</v>
      </c>
      <c r="K63" s="3">
        <v>0</v>
      </c>
      <c r="L63" s="3">
        <f>2.2-0.4</f>
        <v>1.8000000000000003</v>
      </c>
      <c r="M63" s="3">
        <f>7.45-0.7-0.2</f>
        <v>6.55</v>
      </c>
      <c r="N63" s="3">
        <v>0</v>
      </c>
      <c r="O63" s="3">
        <v>0</v>
      </c>
      <c r="P63" s="3">
        <v>0</v>
      </c>
      <c r="Q63" s="3">
        <v>7.85</v>
      </c>
      <c r="R63" s="3">
        <f>2.4+1.3-0.65-0.5</f>
        <v>2.5500000000000003</v>
      </c>
      <c r="S63" s="3">
        <f>38.2-0.1</f>
        <v>38.1</v>
      </c>
      <c r="T63" s="3">
        <f>2.2+4.2</f>
        <v>6.4</v>
      </c>
      <c r="U63" s="3">
        <f>1.7-0.5</f>
        <v>1.2</v>
      </c>
      <c r="V63" s="3">
        <v>0</v>
      </c>
      <c r="W63" s="3">
        <v>0</v>
      </c>
      <c r="X63" s="3">
        <v>0</v>
      </c>
      <c r="Y63" s="3">
        <f>34+33.5+28.2+6.8+6-0.4-2.4</f>
        <v>105.69999999999999</v>
      </c>
      <c r="Z63" s="155"/>
    </row>
    <row r="64" spans="1:29" s="56" customFormat="1" x14ac:dyDescent="0.3">
      <c r="B64" s="11">
        <v>44192</v>
      </c>
      <c r="C64" s="63"/>
      <c r="E64" s="56" t="s">
        <v>75</v>
      </c>
      <c r="F64" s="42">
        <f>SUM(F60:F62)</f>
        <v>133.73500000000001</v>
      </c>
      <c r="G64" s="42">
        <f t="shared" ref="G64:Y64" si="17">SUM(G60:G62)</f>
        <v>49.234999999999999</v>
      </c>
      <c r="H64" s="42">
        <f t="shared" si="17"/>
        <v>9.7999999999999989</v>
      </c>
      <c r="I64" s="42">
        <f t="shared" si="17"/>
        <v>4</v>
      </c>
      <c r="J64" s="42">
        <f t="shared" si="17"/>
        <v>2.38</v>
      </c>
      <c r="K64" s="42">
        <f t="shared" si="17"/>
        <v>0</v>
      </c>
      <c r="L64" s="42">
        <f t="shared" si="17"/>
        <v>1.33</v>
      </c>
      <c r="M64" s="42">
        <f t="shared" si="17"/>
        <v>4.5299999999999994</v>
      </c>
      <c r="N64" s="42">
        <f t="shared" si="17"/>
        <v>0</v>
      </c>
      <c r="O64" s="42">
        <f t="shared" si="17"/>
        <v>3.125</v>
      </c>
      <c r="P64" s="42">
        <f t="shared" si="17"/>
        <v>0</v>
      </c>
      <c r="Q64" s="42">
        <f t="shared" si="17"/>
        <v>5.5500000000000007</v>
      </c>
      <c r="R64" s="42">
        <f t="shared" si="17"/>
        <v>2.65</v>
      </c>
      <c r="S64" s="42">
        <f t="shared" si="17"/>
        <v>0.78</v>
      </c>
      <c r="T64" s="42">
        <f t="shared" si="17"/>
        <v>8.3000000000000007</v>
      </c>
      <c r="U64" s="42">
        <f t="shared" si="17"/>
        <v>3.64</v>
      </c>
      <c r="V64" s="42">
        <f t="shared" si="17"/>
        <v>0</v>
      </c>
      <c r="W64" s="42">
        <f t="shared" si="17"/>
        <v>3.15</v>
      </c>
      <c r="X64" s="42">
        <f t="shared" si="17"/>
        <v>0</v>
      </c>
      <c r="Y64" s="42">
        <f t="shared" si="17"/>
        <v>84.5</v>
      </c>
      <c r="Z64" s="64"/>
    </row>
    <row r="65" spans="1:27" s="56" customFormat="1" x14ac:dyDescent="0.3">
      <c r="B65" s="11">
        <v>44192</v>
      </c>
      <c r="C65" s="63">
        <v>1</v>
      </c>
      <c r="E65" s="56" t="s">
        <v>73</v>
      </c>
      <c r="F65" s="42">
        <f>SUMIF($D$60:$D$62,1,F60:F62)</f>
        <v>133.73500000000001</v>
      </c>
      <c r="G65" s="42">
        <f t="shared" ref="G65:Y65" si="18">SUMIF($D$60:$D$62,1,G60:G62)</f>
        <v>49.234999999999999</v>
      </c>
      <c r="H65" s="42">
        <f t="shared" si="18"/>
        <v>9.7999999999999989</v>
      </c>
      <c r="I65" s="42">
        <f t="shared" si="18"/>
        <v>4</v>
      </c>
      <c r="J65" s="42">
        <f t="shared" si="18"/>
        <v>2.38</v>
      </c>
      <c r="K65" s="42">
        <f t="shared" si="18"/>
        <v>0</v>
      </c>
      <c r="L65" s="42">
        <f t="shared" si="18"/>
        <v>1.33</v>
      </c>
      <c r="M65" s="42">
        <f t="shared" si="18"/>
        <v>4.5299999999999994</v>
      </c>
      <c r="N65" s="42">
        <f t="shared" si="18"/>
        <v>0</v>
      </c>
      <c r="O65" s="42">
        <f t="shared" si="18"/>
        <v>3.125</v>
      </c>
      <c r="P65" s="42">
        <f t="shared" si="18"/>
        <v>0</v>
      </c>
      <c r="Q65" s="42">
        <f t="shared" si="18"/>
        <v>5.5500000000000007</v>
      </c>
      <c r="R65" s="42">
        <f t="shared" si="18"/>
        <v>2.65</v>
      </c>
      <c r="S65" s="42">
        <f t="shared" si="18"/>
        <v>0.78</v>
      </c>
      <c r="T65" s="42">
        <f t="shared" si="18"/>
        <v>8.3000000000000007</v>
      </c>
      <c r="U65" s="42">
        <f t="shared" si="18"/>
        <v>3.64</v>
      </c>
      <c r="V65" s="42">
        <f t="shared" si="18"/>
        <v>0</v>
      </c>
      <c r="W65" s="42">
        <f t="shared" si="18"/>
        <v>3.15</v>
      </c>
      <c r="X65" s="42">
        <f t="shared" si="18"/>
        <v>0</v>
      </c>
      <c r="Y65" s="42">
        <f t="shared" si="18"/>
        <v>84.5</v>
      </c>
      <c r="Z65" s="64"/>
    </row>
    <row r="66" spans="1:27" s="56" customFormat="1" x14ac:dyDescent="0.3">
      <c r="B66" s="11">
        <v>44192</v>
      </c>
      <c r="C66" s="63">
        <v>2</v>
      </c>
      <c r="E66" s="56" t="s">
        <v>74</v>
      </c>
      <c r="F66" s="42">
        <f>SUMIF($D$60:$D$62,2,F60:F62)</f>
        <v>0</v>
      </c>
      <c r="G66" s="42">
        <f t="shared" ref="G66:Y66" si="19">SUMIF($D$60:$D$62,2,G60:G62)</f>
        <v>0</v>
      </c>
      <c r="H66" s="42">
        <f t="shared" si="19"/>
        <v>0</v>
      </c>
      <c r="I66" s="42">
        <f t="shared" si="19"/>
        <v>0</v>
      </c>
      <c r="J66" s="42">
        <f t="shared" si="19"/>
        <v>0</v>
      </c>
      <c r="K66" s="42">
        <f t="shared" si="19"/>
        <v>0</v>
      </c>
      <c r="L66" s="42">
        <f t="shared" si="19"/>
        <v>0</v>
      </c>
      <c r="M66" s="42">
        <f t="shared" si="19"/>
        <v>0</v>
      </c>
      <c r="N66" s="42">
        <f t="shared" si="19"/>
        <v>0</v>
      </c>
      <c r="O66" s="42">
        <f t="shared" si="19"/>
        <v>0</v>
      </c>
      <c r="P66" s="42">
        <f t="shared" si="19"/>
        <v>0</v>
      </c>
      <c r="Q66" s="42">
        <f t="shared" si="19"/>
        <v>0</v>
      </c>
      <c r="R66" s="42">
        <f t="shared" si="19"/>
        <v>0</v>
      </c>
      <c r="S66" s="42">
        <f t="shared" si="19"/>
        <v>0</v>
      </c>
      <c r="T66" s="42">
        <f t="shared" si="19"/>
        <v>0</v>
      </c>
      <c r="U66" s="42">
        <f t="shared" si="19"/>
        <v>0</v>
      </c>
      <c r="V66" s="42">
        <f t="shared" si="19"/>
        <v>0</v>
      </c>
      <c r="W66" s="42">
        <f t="shared" si="19"/>
        <v>0</v>
      </c>
      <c r="X66" s="42">
        <f t="shared" si="19"/>
        <v>0</v>
      </c>
      <c r="Y66" s="42">
        <f t="shared" si="19"/>
        <v>0</v>
      </c>
    </row>
    <row r="67" spans="1:27" x14ac:dyDescent="0.3">
      <c r="C67" s="6"/>
      <c r="F67" s="3"/>
      <c r="G67" s="3"/>
      <c r="H67" s="3"/>
      <c r="I67" s="3"/>
      <c r="J67" s="3"/>
      <c r="K67" s="3"/>
      <c r="L67" s="3"/>
      <c r="M67" s="3"/>
      <c r="N67" s="3"/>
      <c r="O67" s="3"/>
      <c r="P67" s="3"/>
      <c r="Q67" s="3"/>
      <c r="R67" s="3"/>
      <c r="S67" s="3"/>
      <c r="T67" s="3"/>
      <c r="U67" s="3"/>
      <c r="V67" s="3"/>
      <c r="W67" s="3"/>
      <c r="X67" s="3"/>
      <c r="Y67" s="3"/>
    </row>
    <row r="68" spans="1:27" x14ac:dyDescent="0.3">
      <c r="A68">
        <v>5</v>
      </c>
      <c r="B68" s="11">
        <v>44193</v>
      </c>
      <c r="C68" s="6">
        <v>2</v>
      </c>
      <c r="D68">
        <v>1</v>
      </c>
      <c r="E68">
        <v>1</v>
      </c>
      <c r="F68" s="3">
        <f t="shared" si="0"/>
        <v>107.45</v>
      </c>
      <c r="G68" s="3">
        <f t="shared" si="1"/>
        <v>38.75</v>
      </c>
      <c r="H68" s="3">
        <f>6.25+3.46</f>
        <v>9.7100000000000009</v>
      </c>
      <c r="I68" s="3">
        <f>2.5-0.7</f>
        <v>1.8</v>
      </c>
      <c r="J68" s="3">
        <f>1.3-0.62</f>
        <v>0.68</v>
      </c>
      <c r="K68" s="3">
        <v>0</v>
      </c>
      <c r="L68" s="3">
        <v>0.76</v>
      </c>
      <c r="M68" s="3">
        <f>1.54+4.1-0.7</f>
        <v>4.9399999999999995</v>
      </c>
      <c r="N68" s="3">
        <v>0</v>
      </c>
      <c r="O68" s="3">
        <f>1.25+0.6</f>
        <v>1.85</v>
      </c>
      <c r="P68" s="3">
        <v>0</v>
      </c>
      <c r="Q68" s="3">
        <f>8.08-0.3</f>
        <v>7.78</v>
      </c>
      <c r="R68" s="3">
        <f>1-0.6</f>
        <v>0.4</v>
      </c>
      <c r="S68" s="3">
        <v>3.13</v>
      </c>
      <c r="T68" s="3">
        <f>6.2-0</f>
        <v>6.2</v>
      </c>
      <c r="U68" s="3">
        <f>1.92+0.8-0.8-0.42</f>
        <v>1.4999999999999998</v>
      </c>
      <c r="V68" s="3">
        <v>0</v>
      </c>
      <c r="W68" s="3">
        <v>0</v>
      </c>
      <c r="X68" s="3">
        <v>0</v>
      </c>
      <c r="Y68" s="3">
        <f>54+20-0.1-5.2</f>
        <v>68.7</v>
      </c>
      <c r="Z68" s="155" t="s">
        <v>66</v>
      </c>
      <c r="AA68" t="s">
        <v>50</v>
      </c>
    </row>
    <row r="69" spans="1:27" x14ac:dyDescent="0.3">
      <c r="A69">
        <v>5</v>
      </c>
      <c r="B69" s="11">
        <v>44193</v>
      </c>
      <c r="C69" s="6">
        <v>2</v>
      </c>
      <c r="D69">
        <v>2</v>
      </c>
      <c r="E69">
        <v>1</v>
      </c>
      <c r="F69" s="3">
        <f t="shared" si="0"/>
        <v>109.96000000000001</v>
      </c>
      <c r="G69" s="3">
        <f t="shared" si="1"/>
        <v>46.06</v>
      </c>
      <c r="H69" s="3">
        <f>5.3-0.5</f>
        <v>4.8</v>
      </c>
      <c r="I69" s="3">
        <f>3.7+2-0.42-0.42</f>
        <v>4.8600000000000003</v>
      </c>
      <c r="J69" s="3">
        <f>1.1+1.02+0.3-0.2-0.2-0.2</f>
        <v>1.8199999999999996</v>
      </c>
      <c r="K69" s="3">
        <v>0</v>
      </c>
      <c r="L69" s="3">
        <v>0.34</v>
      </c>
      <c r="M69" s="3">
        <f>4.54-0.7</f>
        <v>3.84</v>
      </c>
      <c r="N69" s="3">
        <v>0</v>
      </c>
      <c r="O69" s="3">
        <f>(2.76+0.42-0.54)/2</f>
        <v>1.3199999999999998</v>
      </c>
      <c r="P69" s="3">
        <f>(2.76+0.42-0.54)/2</f>
        <v>1.3199999999999998</v>
      </c>
      <c r="Q69" s="3">
        <f>16.4-4.6</f>
        <v>11.799999999999999</v>
      </c>
      <c r="R69" s="3">
        <f>1.54-0.54</f>
        <v>1</v>
      </c>
      <c r="S69" s="3">
        <v>0</v>
      </c>
      <c r="T69" s="3">
        <f>2.5+3.98+3.5-0.6-0.6</f>
        <v>8.7800000000000011</v>
      </c>
      <c r="U69" s="3">
        <f>1.7+1.82+2.46-0.4-0.45-0.45</f>
        <v>4.68</v>
      </c>
      <c r="V69" s="3">
        <v>0</v>
      </c>
      <c r="W69" s="3">
        <f>0.86+0.64</f>
        <v>1.5</v>
      </c>
      <c r="X69" s="3">
        <v>0</v>
      </c>
      <c r="Y69" s="3">
        <f>36.5+38-5.8-4.8</f>
        <v>63.900000000000006</v>
      </c>
      <c r="Z69" s="155"/>
      <c r="AA69" t="s">
        <v>52</v>
      </c>
    </row>
    <row r="70" spans="1:27" x14ac:dyDescent="0.3">
      <c r="A70">
        <v>1</v>
      </c>
      <c r="B70" s="11">
        <v>44193</v>
      </c>
      <c r="C70" s="6">
        <v>2</v>
      </c>
      <c r="D70">
        <v>1</v>
      </c>
      <c r="E70">
        <v>1</v>
      </c>
      <c r="F70" s="3">
        <f t="shared" si="0"/>
        <v>8.625</v>
      </c>
      <c r="G70" s="3">
        <f t="shared" si="1"/>
        <v>1.625</v>
      </c>
      <c r="H70" s="3">
        <v>0.7</v>
      </c>
      <c r="I70" s="3">
        <f>(0.2+0.025)/2</f>
        <v>0.1125</v>
      </c>
      <c r="J70" s="3">
        <f>(0.2+0.025)/2</f>
        <v>0.1125</v>
      </c>
      <c r="K70" s="3">
        <v>0</v>
      </c>
      <c r="L70" s="3">
        <v>0.1</v>
      </c>
      <c r="M70" s="3">
        <v>0</v>
      </c>
      <c r="N70" s="3">
        <v>0</v>
      </c>
      <c r="O70" s="3">
        <v>0.3</v>
      </c>
      <c r="P70" s="3">
        <v>0</v>
      </c>
      <c r="Q70" s="3">
        <v>0</v>
      </c>
      <c r="R70" s="3">
        <v>0</v>
      </c>
      <c r="S70" s="3">
        <v>0</v>
      </c>
      <c r="T70" s="3">
        <f>0.3/2</f>
        <v>0.15</v>
      </c>
      <c r="U70" s="3">
        <f>0.3/2</f>
        <v>0.15</v>
      </c>
      <c r="V70" s="3">
        <v>0</v>
      </c>
      <c r="W70" s="3">
        <v>0</v>
      </c>
      <c r="X70" s="3">
        <v>0</v>
      </c>
      <c r="Y70" s="3">
        <v>7</v>
      </c>
      <c r="Z70" s="155"/>
      <c r="AA70" t="s">
        <v>51</v>
      </c>
    </row>
    <row r="71" spans="1:27" x14ac:dyDescent="0.3">
      <c r="A71">
        <v>1</v>
      </c>
      <c r="B71" s="11">
        <v>44193</v>
      </c>
      <c r="C71" s="6">
        <v>2</v>
      </c>
      <c r="D71">
        <v>2</v>
      </c>
      <c r="E71">
        <v>1</v>
      </c>
      <c r="F71" s="3">
        <f t="shared" si="0"/>
        <v>5.54</v>
      </c>
      <c r="G71" s="3">
        <f t="shared" si="1"/>
        <v>2.04</v>
      </c>
      <c r="H71" s="3">
        <v>1.82</v>
      </c>
      <c r="I71" s="3">
        <v>0</v>
      </c>
      <c r="J71" s="3">
        <v>0</v>
      </c>
      <c r="K71" s="3">
        <v>0</v>
      </c>
      <c r="L71" s="3">
        <v>0.02</v>
      </c>
      <c r="M71" s="3">
        <v>0</v>
      </c>
      <c r="N71" s="3">
        <v>0</v>
      </c>
      <c r="O71" s="3">
        <v>0.08</v>
      </c>
      <c r="P71" s="3">
        <v>0</v>
      </c>
      <c r="Q71" s="3">
        <v>0</v>
      </c>
      <c r="R71" s="3">
        <v>0.06</v>
      </c>
      <c r="S71" s="3">
        <v>0</v>
      </c>
      <c r="T71" s="3">
        <v>0</v>
      </c>
      <c r="U71" s="3">
        <v>0.06</v>
      </c>
      <c r="V71" s="3">
        <v>0</v>
      </c>
      <c r="W71" s="3">
        <v>0</v>
      </c>
      <c r="X71" s="3">
        <v>0</v>
      </c>
      <c r="Y71" s="3">
        <v>3.5</v>
      </c>
      <c r="Z71" s="155"/>
      <c r="AA71" t="s">
        <v>53</v>
      </c>
    </row>
    <row r="72" spans="1:27" x14ac:dyDescent="0.3">
      <c r="A72">
        <v>3</v>
      </c>
      <c r="B72" s="11">
        <v>44193</v>
      </c>
      <c r="C72" s="6">
        <v>2</v>
      </c>
      <c r="D72">
        <v>1</v>
      </c>
      <c r="E72">
        <v>1</v>
      </c>
      <c r="F72" s="3">
        <f t="shared" si="0"/>
        <v>2.1500000000000004</v>
      </c>
      <c r="G72" s="3">
        <f t="shared" si="1"/>
        <v>1.9500000000000002</v>
      </c>
      <c r="H72" s="3">
        <v>0.75</v>
      </c>
      <c r="I72" s="3">
        <v>0</v>
      </c>
      <c r="J72" s="3">
        <v>0</v>
      </c>
      <c r="K72" s="3">
        <v>0</v>
      </c>
      <c r="L72" s="3">
        <v>0</v>
      </c>
      <c r="M72" s="3">
        <v>0</v>
      </c>
      <c r="N72" s="3">
        <v>0</v>
      </c>
      <c r="O72" s="3">
        <v>0</v>
      </c>
      <c r="P72" s="3">
        <v>0</v>
      </c>
      <c r="Q72" s="3">
        <v>0</v>
      </c>
      <c r="R72" s="3">
        <v>0.2</v>
      </c>
      <c r="S72" s="3">
        <v>0.4</v>
      </c>
      <c r="T72" s="3">
        <v>0.5</v>
      </c>
      <c r="U72" s="3">
        <v>0.1</v>
      </c>
      <c r="V72" s="3">
        <v>0</v>
      </c>
      <c r="W72" s="3">
        <v>0</v>
      </c>
      <c r="X72" s="3">
        <v>0</v>
      </c>
      <c r="Y72" s="3">
        <v>0.2</v>
      </c>
      <c r="Z72" s="155"/>
      <c r="AA72" t="s">
        <v>54</v>
      </c>
    </row>
    <row r="73" spans="1:27" x14ac:dyDescent="0.3">
      <c r="A73">
        <v>3</v>
      </c>
      <c r="B73" s="11">
        <v>44193</v>
      </c>
      <c r="C73" s="6">
        <v>2</v>
      </c>
      <c r="D73">
        <v>2</v>
      </c>
      <c r="E73">
        <v>1</v>
      </c>
      <c r="F73" s="3">
        <f t="shared" si="0"/>
        <v>5.2899999999999991</v>
      </c>
      <c r="G73" s="3">
        <f t="shared" si="1"/>
        <v>1.5899999999999999</v>
      </c>
      <c r="H73" s="3">
        <v>0</v>
      </c>
      <c r="I73" s="3">
        <f>(1.3-0.62)/2</f>
        <v>0.34</v>
      </c>
      <c r="J73" s="3">
        <f>(1.3-0.62)/2</f>
        <v>0.34</v>
      </c>
      <c r="K73" s="3">
        <v>0</v>
      </c>
      <c r="L73" s="3">
        <v>0.06</v>
      </c>
      <c r="M73" s="3">
        <v>0.15</v>
      </c>
      <c r="N73" s="3">
        <v>0</v>
      </c>
      <c r="O73" s="3">
        <v>0.4</v>
      </c>
      <c r="P73" s="3">
        <v>0</v>
      </c>
      <c r="Q73" s="3">
        <v>0</v>
      </c>
      <c r="R73" s="3">
        <v>0</v>
      </c>
      <c r="S73" s="3">
        <v>0</v>
      </c>
      <c r="T73" s="3">
        <f>(0.9-0.6)/2</f>
        <v>0.15000000000000002</v>
      </c>
      <c r="U73" s="3">
        <f>(0.9-0.6)/2</f>
        <v>0.15000000000000002</v>
      </c>
      <c r="V73" s="3">
        <v>0</v>
      </c>
      <c r="W73" s="3">
        <v>0</v>
      </c>
      <c r="X73" s="3">
        <v>0</v>
      </c>
      <c r="Y73" s="3">
        <f>3.8-0.1</f>
        <v>3.6999999999999997</v>
      </c>
      <c r="Z73" s="155"/>
    </row>
    <row r="74" spans="1:27" x14ac:dyDescent="0.3">
      <c r="A74">
        <v>2</v>
      </c>
      <c r="B74" s="11">
        <v>44193</v>
      </c>
      <c r="C74" s="6">
        <v>2</v>
      </c>
      <c r="D74">
        <v>1</v>
      </c>
      <c r="E74">
        <v>1</v>
      </c>
      <c r="F74" s="3">
        <f t="shared" si="0"/>
        <v>14.330000000000002</v>
      </c>
      <c r="G74" s="3">
        <f t="shared" si="1"/>
        <v>6.53</v>
      </c>
      <c r="H74" s="3">
        <v>0</v>
      </c>
      <c r="I74" s="3">
        <v>0</v>
      </c>
      <c r="J74" s="3">
        <v>0</v>
      </c>
      <c r="K74" s="3">
        <v>0</v>
      </c>
      <c r="L74" s="3">
        <v>0.38</v>
      </c>
      <c r="M74" s="3">
        <v>0</v>
      </c>
      <c r="N74" s="3">
        <v>0</v>
      </c>
      <c r="O74" s="3">
        <v>0</v>
      </c>
      <c r="P74" s="3">
        <v>0</v>
      </c>
      <c r="Q74" s="3">
        <v>1.34</v>
      </c>
      <c r="R74" s="3">
        <v>0.39</v>
      </c>
      <c r="S74" s="3">
        <v>0</v>
      </c>
      <c r="T74" s="3">
        <v>0.62</v>
      </c>
      <c r="U74" s="3">
        <v>0.8</v>
      </c>
      <c r="V74" s="3">
        <v>0</v>
      </c>
      <c r="W74" s="3">
        <v>3</v>
      </c>
      <c r="X74" s="3">
        <v>0</v>
      </c>
      <c r="Y74" s="3">
        <f>8.8-1</f>
        <v>7.8000000000000007</v>
      </c>
      <c r="Z74" s="155"/>
      <c r="AA74" t="s">
        <v>55</v>
      </c>
    </row>
    <row r="75" spans="1:27" x14ac:dyDescent="0.3">
      <c r="A75">
        <v>2</v>
      </c>
      <c r="B75" s="11">
        <v>44193</v>
      </c>
      <c r="C75" s="6">
        <v>2</v>
      </c>
      <c r="D75">
        <v>2</v>
      </c>
      <c r="E75">
        <v>1</v>
      </c>
      <c r="F75" s="3">
        <f t="shared" si="0"/>
        <v>6.1100000000000012</v>
      </c>
      <c r="G75" s="3">
        <f t="shared" si="1"/>
        <v>3.9600000000000009</v>
      </c>
      <c r="H75" s="3">
        <f>0.58-0.5</f>
        <v>7.999999999999996E-2</v>
      </c>
      <c r="I75" s="3">
        <f>2-0.5</f>
        <v>1.5</v>
      </c>
      <c r="J75" s="3">
        <f>0.7-0.1</f>
        <v>0.6</v>
      </c>
      <c r="K75" s="3">
        <v>0</v>
      </c>
      <c r="L75" s="3">
        <f>0.8-0.5</f>
        <v>0.30000000000000004</v>
      </c>
      <c r="M75" s="3">
        <v>0</v>
      </c>
      <c r="N75" s="3">
        <v>0</v>
      </c>
      <c r="O75" s="3">
        <v>0</v>
      </c>
      <c r="P75" s="3">
        <v>0</v>
      </c>
      <c r="Q75" s="3">
        <v>0</v>
      </c>
      <c r="R75" s="3">
        <f>0.78-0.5</f>
        <v>0.28000000000000003</v>
      </c>
      <c r="S75" s="3">
        <v>0</v>
      </c>
      <c r="T75" s="3">
        <f>0.7</f>
        <v>0.7</v>
      </c>
      <c r="U75" s="3">
        <f>0.6-0.1</f>
        <v>0.5</v>
      </c>
      <c r="V75" s="3">
        <v>0</v>
      </c>
      <c r="W75" s="3">
        <v>0</v>
      </c>
      <c r="X75" s="3">
        <v>0</v>
      </c>
      <c r="Y75" s="3">
        <f>2.25-0.1</f>
        <v>2.15</v>
      </c>
      <c r="Z75" s="155"/>
    </row>
    <row r="76" spans="1:27" s="56" customFormat="1" x14ac:dyDescent="0.3">
      <c r="B76" s="11">
        <v>44193</v>
      </c>
      <c r="C76" s="63"/>
      <c r="E76" s="56" t="s">
        <v>75</v>
      </c>
      <c r="F76" s="42">
        <f>SUM(F68:F75)</f>
        <v>259.45500000000004</v>
      </c>
      <c r="G76" s="42">
        <f t="shared" ref="G76:Y76" si="20">SUM(G68:G75)</f>
        <v>102.50500000000002</v>
      </c>
      <c r="H76" s="42">
        <f t="shared" si="20"/>
        <v>17.86</v>
      </c>
      <c r="I76" s="42">
        <f t="shared" si="20"/>
        <v>8.6125000000000007</v>
      </c>
      <c r="J76" s="42">
        <f t="shared" si="20"/>
        <v>3.5524999999999993</v>
      </c>
      <c r="K76" s="42">
        <f t="shared" si="20"/>
        <v>0</v>
      </c>
      <c r="L76" s="42">
        <f t="shared" si="20"/>
        <v>1.9600000000000002</v>
      </c>
      <c r="M76" s="42">
        <f t="shared" si="20"/>
        <v>8.93</v>
      </c>
      <c r="N76" s="42">
        <f t="shared" si="20"/>
        <v>0</v>
      </c>
      <c r="O76" s="42">
        <f t="shared" si="20"/>
        <v>3.9499999999999997</v>
      </c>
      <c r="P76" s="42">
        <f t="shared" si="20"/>
        <v>1.3199999999999998</v>
      </c>
      <c r="Q76" s="42">
        <f t="shared" si="20"/>
        <v>20.919999999999998</v>
      </c>
      <c r="R76" s="42">
        <f t="shared" si="20"/>
        <v>2.33</v>
      </c>
      <c r="S76" s="42">
        <f t="shared" si="20"/>
        <v>3.53</v>
      </c>
      <c r="T76" s="42">
        <f t="shared" si="20"/>
        <v>17.100000000000001</v>
      </c>
      <c r="U76" s="42">
        <f t="shared" si="20"/>
        <v>7.9399999999999995</v>
      </c>
      <c r="V76" s="42">
        <f t="shared" si="20"/>
        <v>0</v>
      </c>
      <c r="W76" s="42">
        <f t="shared" si="20"/>
        <v>4.5</v>
      </c>
      <c r="X76" s="42">
        <f t="shared" si="20"/>
        <v>0</v>
      </c>
      <c r="Y76" s="42">
        <f t="shared" si="20"/>
        <v>156.95000000000002</v>
      </c>
      <c r="Z76" s="64"/>
      <c r="AA76" s="42"/>
    </row>
    <row r="77" spans="1:27" s="56" customFormat="1" x14ac:dyDescent="0.3">
      <c r="B77" s="11">
        <v>44193</v>
      </c>
      <c r="C77" s="63">
        <v>1</v>
      </c>
      <c r="E77" s="56" t="s">
        <v>73</v>
      </c>
      <c r="F77" s="42">
        <f>SUMIF($D$68:$D$75,1,F68:F75)</f>
        <v>132.55500000000001</v>
      </c>
      <c r="G77" s="42">
        <f t="shared" ref="G77:Y77" si="21">SUMIF($D$68:$D$75,1,G68:G75)</f>
        <v>48.855000000000004</v>
      </c>
      <c r="H77" s="42">
        <f t="shared" si="21"/>
        <v>11.16</v>
      </c>
      <c r="I77" s="42">
        <f t="shared" si="21"/>
        <v>1.9125000000000001</v>
      </c>
      <c r="J77" s="42">
        <f t="shared" si="21"/>
        <v>0.79250000000000009</v>
      </c>
      <c r="K77" s="42">
        <f t="shared" si="21"/>
        <v>0</v>
      </c>
      <c r="L77" s="42">
        <f t="shared" si="21"/>
        <v>1.24</v>
      </c>
      <c r="M77" s="42">
        <f t="shared" si="21"/>
        <v>4.9399999999999995</v>
      </c>
      <c r="N77" s="42">
        <f t="shared" si="21"/>
        <v>0</v>
      </c>
      <c r="O77" s="42">
        <f t="shared" si="21"/>
        <v>2.15</v>
      </c>
      <c r="P77" s="42">
        <f t="shared" si="21"/>
        <v>0</v>
      </c>
      <c r="Q77" s="42">
        <f t="shared" si="21"/>
        <v>9.120000000000001</v>
      </c>
      <c r="R77" s="42">
        <f t="shared" si="21"/>
        <v>0.9900000000000001</v>
      </c>
      <c r="S77" s="42">
        <f t="shared" si="21"/>
        <v>3.53</v>
      </c>
      <c r="T77" s="42">
        <f t="shared" si="21"/>
        <v>7.4700000000000006</v>
      </c>
      <c r="U77" s="42">
        <f t="shared" si="21"/>
        <v>2.5499999999999998</v>
      </c>
      <c r="V77" s="42">
        <f t="shared" si="21"/>
        <v>0</v>
      </c>
      <c r="W77" s="42">
        <f t="shared" si="21"/>
        <v>3</v>
      </c>
      <c r="X77" s="42">
        <f t="shared" si="21"/>
        <v>0</v>
      </c>
      <c r="Y77" s="42">
        <f t="shared" si="21"/>
        <v>83.7</v>
      </c>
      <c r="Z77" s="64"/>
    </row>
    <row r="78" spans="1:27" s="56" customFormat="1" x14ac:dyDescent="0.3">
      <c r="B78" s="11">
        <v>44193</v>
      </c>
      <c r="C78" s="63">
        <v>2</v>
      </c>
      <c r="E78" s="56" t="s">
        <v>74</v>
      </c>
      <c r="F78" s="42">
        <f>SUMIF($D$68:$D$75,2,F68:F75)</f>
        <v>126.90000000000002</v>
      </c>
      <c r="G78" s="42">
        <f t="shared" ref="G78:Y78" si="22">SUMIF($D$68:$D$75,2,G68:G75)</f>
        <v>53.65</v>
      </c>
      <c r="H78" s="42">
        <f t="shared" si="22"/>
        <v>6.7</v>
      </c>
      <c r="I78" s="42">
        <f t="shared" si="22"/>
        <v>6.7</v>
      </c>
      <c r="J78" s="42">
        <f t="shared" si="22"/>
        <v>2.76</v>
      </c>
      <c r="K78" s="42">
        <f t="shared" si="22"/>
        <v>0</v>
      </c>
      <c r="L78" s="42">
        <f t="shared" si="22"/>
        <v>0.72000000000000008</v>
      </c>
      <c r="M78" s="42">
        <f t="shared" si="22"/>
        <v>3.9899999999999998</v>
      </c>
      <c r="N78" s="42">
        <f t="shared" si="22"/>
        <v>0</v>
      </c>
      <c r="O78" s="42">
        <f t="shared" si="22"/>
        <v>1.7999999999999998</v>
      </c>
      <c r="P78" s="42">
        <f t="shared" si="22"/>
        <v>1.3199999999999998</v>
      </c>
      <c r="Q78" s="42">
        <f t="shared" si="22"/>
        <v>11.799999999999999</v>
      </c>
      <c r="R78" s="42">
        <f t="shared" si="22"/>
        <v>1.34</v>
      </c>
      <c r="S78" s="42">
        <f t="shared" si="22"/>
        <v>0</v>
      </c>
      <c r="T78" s="42">
        <f t="shared" si="22"/>
        <v>9.6300000000000008</v>
      </c>
      <c r="U78" s="42">
        <f t="shared" si="22"/>
        <v>5.39</v>
      </c>
      <c r="V78" s="42">
        <f t="shared" si="22"/>
        <v>0</v>
      </c>
      <c r="W78" s="42">
        <f t="shared" si="22"/>
        <v>1.5</v>
      </c>
      <c r="X78" s="42">
        <f t="shared" si="22"/>
        <v>0</v>
      </c>
      <c r="Y78" s="42">
        <f t="shared" si="22"/>
        <v>73.250000000000014</v>
      </c>
    </row>
    <row r="79" spans="1:27" x14ac:dyDescent="0.3">
      <c r="C79" s="6"/>
      <c r="F79" s="3"/>
      <c r="G79" s="3"/>
      <c r="H79" s="3"/>
      <c r="I79" s="3"/>
      <c r="J79" s="3"/>
      <c r="K79" s="3"/>
      <c r="L79" s="3"/>
      <c r="M79" s="3"/>
      <c r="N79" s="3"/>
      <c r="O79" s="3"/>
      <c r="P79" s="3"/>
      <c r="Q79" s="3"/>
      <c r="R79" s="3"/>
      <c r="S79" s="3"/>
      <c r="T79" s="3"/>
      <c r="U79" s="3"/>
      <c r="V79" s="3"/>
      <c r="W79" s="3"/>
      <c r="X79" s="3"/>
      <c r="Y79" s="3"/>
    </row>
    <row r="80" spans="1:27" x14ac:dyDescent="0.3">
      <c r="A80">
        <v>5</v>
      </c>
      <c r="B80" s="11">
        <v>44194</v>
      </c>
      <c r="C80" s="6">
        <v>3</v>
      </c>
      <c r="D80">
        <v>1</v>
      </c>
      <c r="E80">
        <v>1</v>
      </c>
      <c r="F80" s="3">
        <f t="shared" si="0"/>
        <v>85.269999999999982</v>
      </c>
      <c r="G80" s="3">
        <f t="shared" si="1"/>
        <v>26.369999999999997</v>
      </c>
      <c r="H80" s="3">
        <f>5.2-0.6</f>
        <v>4.6000000000000005</v>
      </c>
      <c r="I80" s="3">
        <f>1.4-0.6</f>
        <v>0.79999999999999993</v>
      </c>
      <c r="J80" s="3">
        <f>1.3-0.7</f>
        <v>0.60000000000000009</v>
      </c>
      <c r="K80" s="3">
        <v>0</v>
      </c>
      <c r="L80" s="3">
        <f>1.25-0.6</f>
        <v>0.65</v>
      </c>
      <c r="M80" s="3">
        <f>0.62+0.7-0.6-0.5</f>
        <v>0.21999999999999986</v>
      </c>
      <c r="N80" s="3">
        <v>0</v>
      </c>
      <c r="O80" s="3">
        <f>1.4-0.6</f>
        <v>0.79999999999999993</v>
      </c>
      <c r="P80" s="3">
        <v>0</v>
      </c>
      <c r="Q80" s="3">
        <f>2.4-0.6</f>
        <v>1.7999999999999998</v>
      </c>
      <c r="R80" s="3">
        <v>0</v>
      </c>
      <c r="S80" s="3">
        <f>3.8-0.6</f>
        <v>3.1999999999999997</v>
      </c>
      <c r="T80" s="3">
        <f>1.8+5+4.6+1.2</f>
        <v>12.599999999999998</v>
      </c>
      <c r="U80" s="3">
        <f>1.9-0.8</f>
        <v>1.0999999999999999</v>
      </c>
      <c r="V80" s="3">
        <v>0</v>
      </c>
      <c r="W80" s="3">
        <v>0</v>
      </c>
      <c r="X80" s="3">
        <v>0</v>
      </c>
      <c r="Y80" s="3">
        <f>45+18.3+12-5.4-4.9-6.1</f>
        <v>58.899999999999984</v>
      </c>
      <c r="Z80" s="155" t="s">
        <v>66</v>
      </c>
    </row>
    <row r="81" spans="1:27" x14ac:dyDescent="0.3">
      <c r="A81">
        <v>5</v>
      </c>
      <c r="B81" s="11">
        <v>44194</v>
      </c>
      <c r="C81" s="6">
        <v>3</v>
      </c>
      <c r="D81">
        <v>2</v>
      </c>
      <c r="E81">
        <v>1</v>
      </c>
      <c r="F81" s="3">
        <f t="shared" si="0"/>
        <v>120.88</v>
      </c>
      <c r="G81" s="3">
        <f t="shared" si="1"/>
        <v>53.730000000000004</v>
      </c>
      <c r="H81" s="3">
        <f>4.35-0.7</f>
        <v>3.6499999999999995</v>
      </c>
      <c r="I81" s="3">
        <f>2.1+1.8-0.5-0.32</f>
        <v>3.0800000000000005</v>
      </c>
      <c r="J81" s="3">
        <f>1.7+0.56-0.44</f>
        <v>1.8199999999999998</v>
      </c>
      <c r="K81" s="3">
        <f>0.44+1.22</f>
        <v>1.66</v>
      </c>
      <c r="L81" s="3">
        <f>1.22-0.44</f>
        <v>0.78</v>
      </c>
      <c r="M81" s="3">
        <f>5.35-0.6</f>
        <v>4.75</v>
      </c>
      <c r="N81" s="3">
        <v>0</v>
      </c>
      <c r="O81" s="3">
        <f>1.76+0.86</f>
        <v>2.62</v>
      </c>
      <c r="P81" s="3">
        <v>0</v>
      </c>
      <c r="Q81" s="3">
        <f>9.8-0.7</f>
        <v>9.1000000000000014</v>
      </c>
      <c r="R81" s="3">
        <f>0.74-0.26</f>
        <v>0.48</v>
      </c>
      <c r="S81" s="3">
        <f>3.45</f>
        <v>3.45</v>
      </c>
      <c r="T81" s="3">
        <v>4</v>
      </c>
      <c r="U81" s="3">
        <f>2-0.46</f>
        <v>1.54</v>
      </c>
      <c r="V81" s="3">
        <v>0</v>
      </c>
      <c r="W81" s="3">
        <f>4.2+1.4+7.6+2.4+1.2</f>
        <v>16.8</v>
      </c>
      <c r="X81" s="3">
        <v>0</v>
      </c>
      <c r="Y81" s="3">
        <f>38+40.6-5.25-6.2</f>
        <v>67.149999999999991</v>
      </c>
      <c r="Z81" s="155"/>
      <c r="AA81" t="s">
        <v>56</v>
      </c>
    </row>
    <row r="82" spans="1:27" x14ac:dyDescent="0.3">
      <c r="A82">
        <v>1</v>
      </c>
      <c r="B82" s="11">
        <v>44194</v>
      </c>
      <c r="C82" s="6">
        <v>3</v>
      </c>
      <c r="D82">
        <v>1</v>
      </c>
      <c r="E82">
        <v>1</v>
      </c>
      <c r="F82" s="3">
        <f t="shared" ref="F82:F97" si="23">SUM(H82:Y82)</f>
        <v>4.9999999999999991</v>
      </c>
      <c r="G82" s="3">
        <f t="shared" ref="G82:G97" si="24">SUM(H82:X82)</f>
        <v>4.9999999999999991</v>
      </c>
      <c r="H82" s="3">
        <v>0</v>
      </c>
      <c r="I82" s="3">
        <v>0</v>
      </c>
      <c r="J82" s="3">
        <v>0</v>
      </c>
      <c r="K82" s="3">
        <v>0</v>
      </c>
      <c r="L82" s="3">
        <f>4.1-0.1</f>
        <v>3.9999999999999996</v>
      </c>
      <c r="M82" s="3">
        <v>0.9</v>
      </c>
      <c r="N82" s="3">
        <v>0</v>
      </c>
      <c r="O82" s="3">
        <v>0</v>
      </c>
      <c r="P82" s="3">
        <v>0</v>
      </c>
      <c r="Q82" s="3">
        <v>0</v>
      </c>
      <c r="R82" s="3">
        <v>0</v>
      </c>
      <c r="S82" s="3">
        <v>0</v>
      </c>
      <c r="T82" s="3">
        <v>0.1</v>
      </c>
      <c r="U82" s="3">
        <v>0</v>
      </c>
      <c r="V82" s="3">
        <v>0</v>
      </c>
      <c r="W82" s="3">
        <v>0</v>
      </c>
      <c r="X82" s="3">
        <v>0</v>
      </c>
      <c r="Y82" s="3">
        <v>0</v>
      </c>
      <c r="Z82" s="155"/>
    </row>
    <row r="83" spans="1:27" x14ac:dyDescent="0.3">
      <c r="A83">
        <v>1</v>
      </c>
      <c r="B83" s="11">
        <v>44194</v>
      </c>
      <c r="C83" s="6">
        <v>3</v>
      </c>
      <c r="D83">
        <v>2</v>
      </c>
      <c r="E83">
        <v>1</v>
      </c>
      <c r="F83" s="3">
        <f t="shared" si="23"/>
        <v>4.43</v>
      </c>
      <c r="G83" s="3">
        <f t="shared" si="24"/>
        <v>0.5099999999999999</v>
      </c>
      <c r="H83" s="3">
        <v>0</v>
      </c>
      <c r="I83" s="3">
        <v>0</v>
      </c>
      <c r="J83" s="3">
        <v>0</v>
      </c>
      <c r="K83" s="3">
        <v>0</v>
      </c>
      <c r="L83" s="3">
        <v>0.05</v>
      </c>
      <c r="M83" s="3">
        <f>0.7-0.28</f>
        <v>0.41999999999999993</v>
      </c>
      <c r="N83" s="3">
        <v>0</v>
      </c>
      <c r="O83" s="3">
        <v>0</v>
      </c>
      <c r="P83" s="3">
        <v>0</v>
      </c>
      <c r="Q83" s="3">
        <v>0</v>
      </c>
      <c r="R83" s="3">
        <v>0</v>
      </c>
      <c r="S83" s="3">
        <v>0</v>
      </c>
      <c r="T83" s="3">
        <v>0.04</v>
      </c>
      <c r="U83" s="3">
        <v>0</v>
      </c>
      <c r="V83" s="3">
        <v>0</v>
      </c>
      <c r="W83" s="3">
        <v>0</v>
      </c>
      <c r="X83" s="3">
        <v>0</v>
      </c>
      <c r="Y83" s="3">
        <f>4.34-0.42</f>
        <v>3.92</v>
      </c>
      <c r="Z83" s="155"/>
    </row>
    <row r="84" spans="1:27" x14ac:dyDescent="0.3">
      <c r="A84">
        <v>2</v>
      </c>
      <c r="B84" s="11">
        <v>44194</v>
      </c>
      <c r="C84" s="6">
        <v>3</v>
      </c>
      <c r="D84">
        <v>1</v>
      </c>
      <c r="E84">
        <v>1</v>
      </c>
      <c r="F84" s="3">
        <f t="shared" si="23"/>
        <v>22.9</v>
      </c>
      <c r="G84" s="3">
        <f t="shared" si="24"/>
        <v>6.3999999999999995</v>
      </c>
      <c r="H84" s="3">
        <v>0</v>
      </c>
      <c r="I84" s="3">
        <f>(3.7-0.1)/2</f>
        <v>1.8</v>
      </c>
      <c r="J84" s="3">
        <f>(3.7-0.1)/2</f>
        <v>1.8</v>
      </c>
      <c r="K84" s="3">
        <v>0</v>
      </c>
      <c r="L84" s="3">
        <v>0</v>
      </c>
      <c r="M84" s="3">
        <v>0</v>
      </c>
      <c r="N84" s="3">
        <v>0</v>
      </c>
      <c r="O84" s="3">
        <f>1.6/2</f>
        <v>0.8</v>
      </c>
      <c r="P84" s="3">
        <f>1.6/2</f>
        <v>0.8</v>
      </c>
      <c r="Q84" s="3">
        <v>0</v>
      </c>
      <c r="R84" s="3">
        <v>0</v>
      </c>
      <c r="S84" s="3">
        <v>0</v>
      </c>
      <c r="T84" s="3">
        <f>(1.3-0.1)/2</f>
        <v>0.6</v>
      </c>
      <c r="U84" s="3">
        <f>(1.3-0.1)/2</f>
        <v>0.6</v>
      </c>
      <c r="V84" s="3">
        <v>0</v>
      </c>
      <c r="W84" s="3">
        <v>0</v>
      </c>
      <c r="X84" s="3">
        <v>0</v>
      </c>
      <c r="Y84" s="3">
        <v>16.5</v>
      </c>
      <c r="Z84" s="155"/>
      <c r="AA84" t="s">
        <v>57</v>
      </c>
    </row>
    <row r="85" spans="1:27" x14ac:dyDescent="0.3">
      <c r="A85">
        <v>2</v>
      </c>
      <c r="B85" s="11">
        <v>44194</v>
      </c>
      <c r="C85" s="6">
        <v>3</v>
      </c>
      <c r="D85">
        <v>2</v>
      </c>
      <c r="E85">
        <v>1</v>
      </c>
      <c r="F85" s="3">
        <f t="shared" si="23"/>
        <v>0</v>
      </c>
      <c r="G85" s="3">
        <f t="shared" si="24"/>
        <v>0</v>
      </c>
      <c r="H85" s="3">
        <v>0</v>
      </c>
      <c r="I85" s="3">
        <v>0</v>
      </c>
      <c r="J85" s="3">
        <v>0</v>
      </c>
      <c r="K85" s="3">
        <v>0</v>
      </c>
      <c r="L85" s="3">
        <v>0</v>
      </c>
      <c r="M85" s="3">
        <v>0</v>
      </c>
      <c r="N85" s="3">
        <v>0</v>
      </c>
      <c r="O85" s="3">
        <v>0</v>
      </c>
      <c r="P85" s="3">
        <v>0</v>
      </c>
      <c r="Q85" s="3">
        <v>0</v>
      </c>
      <c r="R85" s="3">
        <v>0</v>
      </c>
      <c r="S85" s="3">
        <v>0</v>
      </c>
      <c r="T85" s="3">
        <v>0</v>
      </c>
      <c r="U85" s="3">
        <v>0</v>
      </c>
      <c r="V85" s="3">
        <v>0</v>
      </c>
      <c r="W85" s="3">
        <v>0</v>
      </c>
      <c r="X85" s="3">
        <v>0</v>
      </c>
      <c r="Y85" s="3">
        <v>0</v>
      </c>
      <c r="Z85" s="155"/>
    </row>
    <row r="86" spans="1:27" x14ac:dyDescent="0.3">
      <c r="A86">
        <v>3</v>
      </c>
      <c r="B86" s="11">
        <v>44194</v>
      </c>
      <c r="C86" s="6">
        <v>3</v>
      </c>
      <c r="D86">
        <v>1</v>
      </c>
      <c r="E86">
        <v>1</v>
      </c>
      <c r="F86" s="3">
        <f t="shared" si="23"/>
        <v>0.8</v>
      </c>
      <c r="G86" s="3">
        <f t="shared" si="24"/>
        <v>0.8</v>
      </c>
      <c r="H86" s="3">
        <v>0.2</v>
      </c>
      <c r="I86" s="3">
        <f>(0.18+0.16)/2</f>
        <v>0.16999999999999998</v>
      </c>
      <c r="J86" s="3">
        <f>(0.18+0.16)/2</f>
        <v>0.16999999999999998</v>
      </c>
      <c r="K86" s="3">
        <v>0</v>
      </c>
      <c r="L86" s="3">
        <v>0</v>
      </c>
      <c r="M86" s="3">
        <v>0.1</v>
      </c>
      <c r="N86" s="3">
        <v>0</v>
      </c>
      <c r="O86" s="3">
        <v>0</v>
      </c>
      <c r="P86" s="3">
        <v>0</v>
      </c>
      <c r="Q86" s="3">
        <v>0</v>
      </c>
      <c r="R86" s="3">
        <v>0.1</v>
      </c>
      <c r="S86" s="3">
        <v>0</v>
      </c>
      <c r="T86" s="3">
        <v>0</v>
      </c>
      <c r="U86" s="3">
        <v>0.06</v>
      </c>
      <c r="V86" s="3">
        <v>0</v>
      </c>
      <c r="W86" s="3">
        <v>0</v>
      </c>
      <c r="X86" s="3">
        <v>0</v>
      </c>
      <c r="Y86" s="3">
        <v>0</v>
      </c>
      <c r="Z86" s="155"/>
      <c r="AA86" t="s">
        <v>58</v>
      </c>
    </row>
    <row r="87" spans="1:27" x14ac:dyDescent="0.3">
      <c r="A87">
        <v>3</v>
      </c>
      <c r="B87" s="11">
        <v>44194</v>
      </c>
      <c r="C87" s="6">
        <v>3</v>
      </c>
      <c r="D87">
        <v>2</v>
      </c>
      <c r="E87">
        <v>1</v>
      </c>
      <c r="F87" s="3">
        <f t="shared" si="23"/>
        <v>0</v>
      </c>
      <c r="G87" s="3">
        <f t="shared" si="24"/>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155"/>
    </row>
    <row r="88" spans="1:27" x14ac:dyDescent="0.3">
      <c r="A88">
        <v>4</v>
      </c>
      <c r="B88" s="11">
        <v>44194</v>
      </c>
      <c r="C88" s="6">
        <v>3</v>
      </c>
      <c r="D88">
        <v>1</v>
      </c>
      <c r="E88">
        <v>1</v>
      </c>
      <c r="F88" s="3">
        <f t="shared" si="23"/>
        <v>0.90000000000000013</v>
      </c>
      <c r="G88" s="3">
        <f t="shared" si="24"/>
        <v>0.90000000000000013</v>
      </c>
      <c r="H88" s="3">
        <v>0.1</v>
      </c>
      <c r="I88" s="3">
        <f>0.4/2</f>
        <v>0.2</v>
      </c>
      <c r="J88" s="3">
        <f>0.4/2</f>
        <v>0.2</v>
      </c>
      <c r="K88" s="3">
        <v>0</v>
      </c>
      <c r="L88" s="3">
        <v>0</v>
      </c>
      <c r="M88" s="3">
        <v>0</v>
      </c>
      <c r="N88" s="3">
        <v>0</v>
      </c>
      <c r="O88" s="3">
        <v>0.1</v>
      </c>
      <c r="P88" s="3">
        <v>0</v>
      </c>
      <c r="Q88" s="3">
        <v>0.2</v>
      </c>
      <c r="R88" s="3">
        <v>0.05</v>
      </c>
      <c r="S88" s="3">
        <v>0</v>
      </c>
      <c r="T88" s="3">
        <v>0</v>
      </c>
      <c r="U88" s="3">
        <v>0.05</v>
      </c>
      <c r="V88" s="3">
        <v>0</v>
      </c>
      <c r="W88" s="3">
        <v>0</v>
      </c>
      <c r="X88" s="3">
        <v>0</v>
      </c>
      <c r="Y88" s="3">
        <v>0</v>
      </c>
      <c r="Z88" s="155"/>
    </row>
    <row r="89" spans="1:27" x14ac:dyDescent="0.3">
      <c r="A89">
        <v>4</v>
      </c>
      <c r="B89" s="11">
        <v>44194</v>
      </c>
      <c r="C89" s="6">
        <v>3</v>
      </c>
      <c r="D89">
        <v>2</v>
      </c>
      <c r="E89">
        <v>1</v>
      </c>
      <c r="F89" s="3">
        <f t="shared" si="23"/>
        <v>0</v>
      </c>
      <c r="G89" s="3">
        <f t="shared" si="24"/>
        <v>0</v>
      </c>
      <c r="H89" s="3">
        <v>0</v>
      </c>
      <c r="I89" s="3">
        <v>0</v>
      </c>
      <c r="J89" s="3">
        <v>0</v>
      </c>
      <c r="K89" s="3">
        <v>0</v>
      </c>
      <c r="L89" s="3">
        <v>0</v>
      </c>
      <c r="M89" s="3">
        <v>0</v>
      </c>
      <c r="N89" s="3">
        <v>0</v>
      </c>
      <c r="O89" s="3">
        <v>0</v>
      </c>
      <c r="P89" s="3">
        <v>0</v>
      </c>
      <c r="Q89" s="3">
        <v>0</v>
      </c>
      <c r="R89" s="3">
        <v>0</v>
      </c>
      <c r="S89" s="3">
        <v>0</v>
      </c>
      <c r="T89" s="3">
        <v>0</v>
      </c>
      <c r="U89" s="3">
        <v>0</v>
      </c>
      <c r="V89" s="3">
        <v>0</v>
      </c>
      <c r="W89" s="3">
        <v>0</v>
      </c>
      <c r="X89" s="3">
        <v>0</v>
      </c>
      <c r="Y89" s="3">
        <v>0</v>
      </c>
      <c r="Z89" s="155"/>
    </row>
    <row r="90" spans="1:27" x14ac:dyDescent="0.3">
      <c r="A90">
        <v>6</v>
      </c>
      <c r="B90" s="11">
        <v>44194</v>
      </c>
      <c r="C90" s="6">
        <v>3</v>
      </c>
      <c r="D90">
        <v>1</v>
      </c>
      <c r="E90">
        <v>1</v>
      </c>
      <c r="F90" s="3">
        <f t="shared" si="23"/>
        <v>50.13</v>
      </c>
      <c r="G90" s="3">
        <f t="shared" si="24"/>
        <v>37.68</v>
      </c>
      <c r="H90" s="3">
        <f>4.5-0.7</f>
        <v>3.8</v>
      </c>
      <c r="I90" s="3">
        <f>(0.64+0.85+0.7-0.38-0.3)/2</f>
        <v>0.755</v>
      </c>
      <c r="J90" s="3">
        <f>(0.64+0.85+0.7-0.38-0.3)/2</f>
        <v>0.755</v>
      </c>
      <c r="K90" s="3">
        <v>0</v>
      </c>
      <c r="L90" s="3">
        <f>0.7+0.28</f>
        <v>0.98</v>
      </c>
      <c r="M90" s="3">
        <f>(1.9+5.6-1.4)</f>
        <v>6.1</v>
      </c>
      <c r="N90" s="3">
        <v>0</v>
      </c>
      <c r="O90" s="3">
        <f>0.11</f>
        <v>0.11</v>
      </c>
      <c r="P90" s="3">
        <f>0.2</f>
        <v>0.2</v>
      </c>
      <c r="Q90" s="3">
        <f>3.64-0.1</f>
        <v>3.54</v>
      </c>
      <c r="R90" s="3">
        <f>0.46+0.8</f>
        <v>1.26</v>
      </c>
      <c r="S90" s="3">
        <v>0</v>
      </c>
      <c r="T90" s="3">
        <f>(2.5+5+2.4-0.7-0.7)</f>
        <v>8.5000000000000018</v>
      </c>
      <c r="U90" s="3">
        <f>(0.96+5.7-0.38+5.4)</f>
        <v>11.68</v>
      </c>
      <c r="V90" s="3">
        <v>0</v>
      </c>
      <c r="W90" s="3">
        <v>0</v>
      </c>
      <c r="X90" s="3">
        <v>0</v>
      </c>
      <c r="Y90" s="3">
        <f>9+3.8-0.1-0.25</f>
        <v>12.450000000000001</v>
      </c>
      <c r="Z90" s="155"/>
    </row>
    <row r="91" spans="1:27" s="56" customFormat="1" x14ac:dyDescent="0.3">
      <c r="B91" s="11">
        <v>44194</v>
      </c>
      <c r="C91" s="63"/>
      <c r="E91" s="56" t="s">
        <v>75</v>
      </c>
      <c r="F91" s="42">
        <f>SUM(F80:F89)</f>
        <v>240.18</v>
      </c>
      <c r="G91" s="42">
        <f t="shared" ref="G91:X91" si="25">SUM(G80:G89)</f>
        <v>93.710000000000008</v>
      </c>
      <c r="H91" s="42">
        <f t="shared" si="25"/>
        <v>8.5499999999999989</v>
      </c>
      <c r="I91" s="42">
        <f t="shared" si="25"/>
        <v>6.0500000000000007</v>
      </c>
      <c r="J91" s="42">
        <f t="shared" si="25"/>
        <v>4.59</v>
      </c>
      <c r="K91" s="42">
        <f t="shared" si="25"/>
        <v>1.66</v>
      </c>
      <c r="L91" s="42">
        <f t="shared" si="25"/>
        <v>5.4799999999999995</v>
      </c>
      <c r="M91" s="42">
        <f t="shared" si="25"/>
        <v>6.39</v>
      </c>
      <c r="N91" s="42">
        <f t="shared" si="25"/>
        <v>0</v>
      </c>
      <c r="O91" s="42">
        <f t="shared" si="25"/>
        <v>4.3199999999999994</v>
      </c>
      <c r="P91" s="42">
        <f t="shared" si="25"/>
        <v>0.8</v>
      </c>
      <c r="Q91" s="42">
        <f t="shared" si="25"/>
        <v>11.100000000000001</v>
      </c>
      <c r="R91" s="42">
        <f t="shared" si="25"/>
        <v>0.63</v>
      </c>
      <c r="S91" s="42">
        <f t="shared" si="25"/>
        <v>6.65</v>
      </c>
      <c r="T91" s="42">
        <f t="shared" si="25"/>
        <v>17.34</v>
      </c>
      <c r="U91" s="42">
        <f t="shared" si="25"/>
        <v>3.3499999999999996</v>
      </c>
      <c r="V91" s="42">
        <f t="shared" si="25"/>
        <v>0</v>
      </c>
      <c r="W91" s="42">
        <f t="shared" si="25"/>
        <v>16.8</v>
      </c>
      <c r="X91" s="42">
        <f t="shared" si="25"/>
        <v>0</v>
      </c>
      <c r="Y91" s="42">
        <f>SUM(Y80:Y90)</f>
        <v>158.91999999999996</v>
      </c>
      <c r="Z91" s="64"/>
    </row>
    <row r="92" spans="1:27" s="56" customFormat="1" x14ac:dyDescent="0.3">
      <c r="B92" s="11">
        <v>44194</v>
      </c>
      <c r="C92" s="63">
        <v>1</v>
      </c>
      <c r="E92" s="56" t="s">
        <v>73</v>
      </c>
      <c r="F92" s="42">
        <f>SUMIF($D$80:$D$89,1,F80:F89)</f>
        <v>114.86999999999999</v>
      </c>
      <c r="G92" s="42">
        <f t="shared" ref="G92:X92" si="26">SUMIF($D$80:$D$89,1,G80:G89)</f>
        <v>39.469999999999992</v>
      </c>
      <c r="H92" s="42">
        <f t="shared" si="26"/>
        <v>4.9000000000000004</v>
      </c>
      <c r="I92" s="42">
        <f t="shared" si="26"/>
        <v>2.97</v>
      </c>
      <c r="J92" s="42">
        <f t="shared" si="26"/>
        <v>2.7700000000000005</v>
      </c>
      <c r="K92" s="42">
        <f t="shared" si="26"/>
        <v>0</v>
      </c>
      <c r="L92" s="42">
        <f t="shared" si="26"/>
        <v>4.6499999999999995</v>
      </c>
      <c r="M92" s="42">
        <f t="shared" si="26"/>
        <v>1.22</v>
      </c>
      <c r="N92" s="42">
        <f t="shared" si="26"/>
        <v>0</v>
      </c>
      <c r="O92" s="42">
        <f t="shared" si="26"/>
        <v>1.7000000000000002</v>
      </c>
      <c r="P92" s="42">
        <f t="shared" si="26"/>
        <v>0.8</v>
      </c>
      <c r="Q92" s="42">
        <f t="shared" si="26"/>
        <v>1.9999999999999998</v>
      </c>
      <c r="R92" s="42">
        <f t="shared" si="26"/>
        <v>0.15000000000000002</v>
      </c>
      <c r="S92" s="42">
        <f t="shared" si="26"/>
        <v>3.1999999999999997</v>
      </c>
      <c r="T92" s="42">
        <f t="shared" si="26"/>
        <v>13.299999999999997</v>
      </c>
      <c r="U92" s="42">
        <f t="shared" si="26"/>
        <v>1.8099999999999998</v>
      </c>
      <c r="V92" s="42">
        <f t="shared" si="26"/>
        <v>0</v>
      </c>
      <c r="W92" s="42">
        <f t="shared" si="26"/>
        <v>0</v>
      </c>
      <c r="X92" s="42">
        <f t="shared" si="26"/>
        <v>0</v>
      </c>
      <c r="Y92" s="42">
        <f>SUMIF($D$80:$D$90,1,Y80:Y90)</f>
        <v>87.84999999999998</v>
      </c>
      <c r="Z92" s="64"/>
    </row>
    <row r="93" spans="1:27" s="56" customFormat="1" x14ac:dyDescent="0.3">
      <c r="B93" s="11">
        <v>44194</v>
      </c>
      <c r="C93" s="63">
        <v>2</v>
      </c>
      <c r="E93" s="56" t="s">
        <v>74</v>
      </c>
      <c r="F93" s="42">
        <f>SUMIF($D$80:$D$89,2,F80:F89)</f>
        <v>125.31</v>
      </c>
      <c r="G93" s="42">
        <f t="shared" ref="G93:X93" si="27">SUMIF($D$80:$D$89,2,G80:G89)</f>
        <v>54.24</v>
      </c>
      <c r="H93" s="42">
        <f t="shared" si="27"/>
        <v>3.6499999999999995</v>
      </c>
      <c r="I93" s="42">
        <f t="shared" si="27"/>
        <v>3.0800000000000005</v>
      </c>
      <c r="J93" s="42">
        <f t="shared" si="27"/>
        <v>1.8199999999999998</v>
      </c>
      <c r="K93" s="42">
        <f t="shared" si="27"/>
        <v>1.66</v>
      </c>
      <c r="L93" s="42">
        <f t="shared" si="27"/>
        <v>0.83000000000000007</v>
      </c>
      <c r="M93" s="42">
        <f t="shared" si="27"/>
        <v>5.17</v>
      </c>
      <c r="N93" s="42">
        <f t="shared" si="27"/>
        <v>0</v>
      </c>
      <c r="O93" s="42">
        <f t="shared" si="27"/>
        <v>2.62</v>
      </c>
      <c r="P93" s="42">
        <f t="shared" si="27"/>
        <v>0</v>
      </c>
      <c r="Q93" s="42">
        <f t="shared" si="27"/>
        <v>9.1000000000000014</v>
      </c>
      <c r="R93" s="42">
        <f t="shared" si="27"/>
        <v>0.48</v>
      </c>
      <c r="S93" s="42">
        <f t="shared" si="27"/>
        <v>3.45</v>
      </c>
      <c r="T93" s="42">
        <f t="shared" si="27"/>
        <v>4.04</v>
      </c>
      <c r="U93" s="42">
        <f t="shared" si="27"/>
        <v>1.54</v>
      </c>
      <c r="V93" s="42">
        <f t="shared" si="27"/>
        <v>0</v>
      </c>
      <c r="W93" s="42">
        <f t="shared" si="27"/>
        <v>16.8</v>
      </c>
      <c r="X93" s="42">
        <f t="shared" si="27"/>
        <v>0</v>
      </c>
      <c r="Y93" s="42">
        <f>SUMIF($D$80:$D$90,2,Y80:Y90)</f>
        <v>71.069999999999993</v>
      </c>
    </row>
    <row r="94" spans="1:27" x14ac:dyDescent="0.3">
      <c r="C94" s="6"/>
      <c r="F94" s="3"/>
      <c r="G94" s="3"/>
      <c r="H94" s="3"/>
      <c r="I94" s="3"/>
      <c r="J94" s="3"/>
      <c r="K94" s="3"/>
      <c r="L94" s="3"/>
      <c r="M94" s="3"/>
      <c r="N94" s="3"/>
      <c r="O94" s="3"/>
      <c r="P94" s="3"/>
      <c r="Q94" s="3"/>
      <c r="R94" s="3"/>
      <c r="S94" s="3"/>
      <c r="T94" s="3"/>
      <c r="U94" s="3"/>
      <c r="V94" s="3"/>
      <c r="W94" s="3"/>
      <c r="X94" s="3"/>
      <c r="Y94" s="3"/>
    </row>
    <row r="95" spans="1:27" x14ac:dyDescent="0.3">
      <c r="A95">
        <v>6</v>
      </c>
      <c r="B95" s="11">
        <v>44197</v>
      </c>
      <c r="C95" s="6">
        <v>6</v>
      </c>
      <c r="D95">
        <v>1</v>
      </c>
      <c r="E95">
        <v>2</v>
      </c>
      <c r="F95" s="3">
        <f t="shared" si="23"/>
        <v>266.35000000000002</v>
      </c>
      <c r="G95" s="3">
        <f t="shared" si="24"/>
        <v>113.84023066485753</v>
      </c>
      <c r="H95" s="3">
        <f>(4.25-0.1)*(266.35/36.85)</f>
        <v>29.9959972862958</v>
      </c>
      <c r="I95" s="3">
        <v>0</v>
      </c>
      <c r="J95" s="3">
        <v>0</v>
      </c>
      <c r="K95" s="3">
        <v>0</v>
      </c>
      <c r="L95" s="3">
        <f>(2.15-0.6)*(266.35/36.85)</f>
        <v>11.203324287652645</v>
      </c>
      <c r="M95" s="3">
        <f>(5.5-0.55)*(266.35/36.85)</f>
        <v>35.778358208955225</v>
      </c>
      <c r="N95" s="3">
        <v>0</v>
      </c>
      <c r="O95" s="3">
        <v>0</v>
      </c>
      <c r="P95" s="3">
        <v>0</v>
      </c>
      <c r="Q95" s="3">
        <f>(3.5-0.1)*(266.35/36.85)</f>
        <v>24.57503392130258</v>
      </c>
      <c r="R95" s="3">
        <f>(1.1-0.1)*(266.35/36.85)</f>
        <v>7.2279511533242884</v>
      </c>
      <c r="S95" s="3">
        <f>(0.1)*(266.35/36.85)</f>
        <v>0.72279511533242891</v>
      </c>
      <c r="T95" s="3">
        <v>0</v>
      </c>
      <c r="U95" s="3">
        <v>0</v>
      </c>
      <c r="V95" s="3">
        <v>0</v>
      </c>
      <c r="W95" s="3">
        <f>(0.6)*(266.35/36.85)</f>
        <v>4.3367706919945732</v>
      </c>
      <c r="X95" s="3">
        <v>0</v>
      </c>
      <c r="Y95" s="3">
        <f>(21.2-0.1)*(266.35/36.85)</f>
        <v>152.50976933514247</v>
      </c>
      <c r="Z95" s="155" t="s">
        <v>68</v>
      </c>
      <c r="AA95" s="3"/>
    </row>
    <row r="96" spans="1:27" x14ac:dyDescent="0.3">
      <c r="A96">
        <v>6</v>
      </c>
      <c r="B96" s="11">
        <v>44197</v>
      </c>
      <c r="C96" s="6">
        <v>6</v>
      </c>
      <c r="D96">
        <v>2</v>
      </c>
      <c r="E96">
        <v>2</v>
      </c>
      <c r="F96" s="3">
        <f t="shared" si="23"/>
        <v>190.8</v>
      </c>
      <c r="G96" s="3">
        <f t="shared" si="24"/>
        <v>26.630000000000003</v>
      </c>
      <c r="H96" s="3">
        <v>4.55</v>
      </c>
      <c r="I96" s="3">
        <f>0.3-0.1</f>
        <v>0.19999999999999998</v>
      </c>
      <c r="J96" s="3">
        <f>0.4-0.1</f>
        <v>0.30000000000000004</v>
      </c>
      <c r="K96" s="3">
        <v>0</v>
      </c>
      <c r="L96" s="3">
        <f>2.35-0.1</f>
        <v>2.25</v>
      </c>
      <c r="M96" s="3">
        <f>5.9-0.1</f>
        <v>5.8000000000000007</v>
      </c>
      <c r="N96" s="3">
        <v>0</v>
      </c>
      <c r="O96" s="3">
        <f>1.32-0.44</f>
        <v>0.88000000000000012</v>
      </c>
      <c r="P96" s="3">
        <v>0</v>
      </c>
      <c r="Q96" s="3">
        <f>4.55-0.1</f>
        <v>4.45</v>
      </c>
      <c r="R96" s="3">
        <f>1.5-0.1</f>
        <v>1.4</v>
      </c>
      <c r="S96" s="3">
        <v>0</v>
      </c>
      <c r="T96" s="3">
        <f>4.5+2.05-0.1-0.5</f>
        <v>5.95</v>
      </c>
      <c r="U96" s="3">
        <f>0.95-0.1</f>
        <v>0.85</v>
      </c>
      <c r="V96" s="3">
        <v>0</v>
      </c>
      <c r="W96" s="3">
        <v>0</v>
      </c>
      <c r="X96" s="3">
        <v>0</v>
      </c>
      <c r="Y96" s="3">
        <f>57.3+58.7+46.7+38.17-13.6-13.4-4.6-5.1</f>
        <v>164.17000000000002</v>
      </c>
      <c r="Z96" s="155"/>
      <c r="AA96" s="3"/>
    </row>
    <row r="97" spans="1:26" x14ac:dyDescent="0.3">
      <c r="A97">
        <v>5</v>
      </c>
      <c r="B97" s="11">
        <v>44197</v>
      </c>
      <c r="C97" s="6">
        <v>6</v>
      </c>
      <c r="D97">
        <v>1</v>
      </c>
      <c r="E97">
        <v>2</v>
      </c>
      <c r="F97" s="3">
        <f t="shared" si="23"/>
        <v>140.76999999999998</v>
      </c>
      <c r="G97" s="3">
        <f t="shared" si="24"/>
        <v>36.869999999999997</v>
      </c>
      <c r="H97" s="3">
        <f>5.15-0.1</f>
        <v>5.0500000000000007</v>
      </c>
      <c r="I97" s="3">
        <f>2.74-0.1</f>
        <v>2.64</v>
      </c>
      <c r="J97" s="3">
        <f>1.9-0.1</f>
        <v>1.7999999999999998</v>
      </c>
      <c r="K97" s="3">
        <v>0</v>
      </c>
      <c r="L97" s="3">
        <f>1.12-0.42</f>
        <v>0.70000000000000018</v>
      </c>
      <c r="M97" s="3">
        <f>8.6</f>
        <v>8.6</v>
      </c>
      <c r="N97" s="3">
        <v>0</v>
      </c>
      <c r="O97" s="3">
        <f>2.52-0.5</f>
        <v>2.02</v>
      </c>
      <c r="P97" s="3">
        <v>0</v>
      </c>
      <c r="Q97" s="3">
        <f>9.7-0.1</f>
        <v>9.6</v>
      </c>
      <c r="R97" s="3">
        <f>1.22-0.56</f>
        <v>0.65999999999999992</v>
      </c>
      <c r="S97" s="3">
        <v>0</v>
      </c>
      <c r="T97" s="3">
        <f>3.8-0.44</f>
        <v>3.36</v>
      </c>
      <c r="U97" s="3">
        <f>1.36-0.1</f>
        <v>1.26</v>
      </c>
      <c r="V97" s="3">
        <v>0</v>
      </c>
      <c r="W97" s="3">
        <f>1.18</f>
        <v>1.18</v>
      </c>
      <c r="X97" s="3">
        <v>0</v>
      </c>
      <c r="Y97" s="3">
        <f>37.3+41.4+40.8-5.2-5-5.4</f>
        <v>103.89999999999998</v>
      </c>
      <c r="Z97" s="155"/>
    </row>
    <row r="98" spans="1:26" s="56" customFormat="1" x14ac:dyDescent="0.3">
      <c r="B98" s="11">
        <v>44197</v>
      </c>
      <c r="C98" s="63"/>
      <c r="E98" s="56" t="s">
        <v>75</v>
      </c>
      <c r="F98" s="42">
        <f>SUM(F95:F97)</f>
        <v>597.92000000000007</v>
      </c>
      <c r="G98" s="42">
        <f t="shared" ref="G98:Y98" si="28">SUM(G95:G97)</f>
        <v>177.34023066485753</v>
      </c>
      <c r="H98" s="42">
        <f t="shared" si="28"/>
        <v>39.595997286295798</v>
      </c>
      <c r="I98" s="42">
        <f t="shared" si="28"/>
        <v>2.8400000000000003</v>
      </c>
      <c r="J98" s="42">
        <f t="shared" si="28"/>
        <v>2.0999999999999996</v>
      </c>
      <c r="K98" s="42">
        <f t="shared" si="28"/>
        <v>0</v>
      </c>
      <c r="L98" s="42">
        <f t="shared" si="28"/>
        <v>14.153324287652644</v>
      </c>
      <c r="M98" s="42">
        <f t="shared" si="28"/>
        <v>50.178358208955224</v>
      </c>
      <c r="N98" s="42">
        <f t="shared" si="28"/>
        <v>0</v>
      </c>
      <c r="O98" s="42">
        <f t="shared" si="28"/>
        <v>2.9000000000000004</v>
      </c>
      <c r="P98" s="42">
        <f t="shared" si="28"/>
        <v>0</v>
      </c>
      <c r="Q98" s="42">
        <f t="shared" si="28"/>
        <v>38.625033921302581</v>
      </c>
      <c r="R98" s="42">
        <f t="shared" si="28"/>
        <v>9.287951153324288</v>
      </c>
      <c r="S98" s="42">
        <f t="shared" si="28"/>
        <v>0.72279511533242891</v>
      </c>
      <c r="T98" s="42">
        <f t="shared" si="28"/>
        <v>9.31</v>
      </c>
      <c r="U98" s="42">
        <f t="shared" si="28"/>
        <v>2.11</v>
      </c>
      <c r="V98" s="42">
        <f t="shared" si="28"/>
        <v>0</v>
      </c>
      <c r="W98" s="42">
        <f t="shared" si="28"/>
        <v>5.5167706919945729</v>
      </c>
      <c r="X98" s="42">
        <f t="shared" si="28"/>
        <v>0</v>
      </c>
      <c r="Y98" s="42">
        <f t="shared" si="28"/>
        <v>420.57976933514249</v>
      </c>
      <c r="Z98" s="64"/>
    </row>
    <row r="99" spans="1:26" s="56" customFormat="1" x14ac:dyDescent="0.3">
      <c r="B99" s="11">
        <v>44197</v>
      </c>
      <c r="C99" s="63">
        <v>1</v>
      </c>
      <c r="E99" s="56" t="s">
        <v>73</v>
      </c>
      <c r="F99" s="42">
        <f>SUMIF($D$95:$D$97,1,F95:F97)</f>
        <v>407.12</v>
      </c>
      <c r="G99" s="42">
        <f t="shared" ref="G99:Y99" si="29">SUMIF($D$95:$D$97,1,G95:G97)</f>
        <v>150.71023066485753</v>
      </c>
      <c r="H99" s="42">
        <f t="shared" si="29"/>
        <v>35.045997286295801</v>
      </c>
      <c r="I99" s="42">
        <f t="shared" si="29"/>
        <v>2.64</v>
      </c>
      <c r="J99" s="42">
        <f t="shared" si="29"/>
        <v>1.7999999999999998</v>
      </c>
      <c r="K99" s="42">
        <f t="shared" si="29"/>
        <v>0</v>
      </c>
      <c r="L99" s="42">
        <f t="shared" si="29"/>
        <v>11.903324287652644</v>
      </c>
      <c r="M99" s="42">
        <f t="shared" si="29"/>
        <v>44.378358208955227</v>
      </c>
      <c r="N99" s="42">
        <f t="shared" si="29"/>
        <v>0</v>
      </c>
      <c r="O99" s="42">
        <f t="shared" si="29"/>
        <v>2.02</v>
      </c>
      <c r="P99" s="42">
        <f t="shared" si="29"/>
        <v>0</v>
      </c>
      <c r="Q99" s="42">
        <f t="shared" si="29"/>
        <v>34.175033921302578</v>
      </c>
      <c r="R99" s="42">
        <f t="shared" si="29"/>
        <v>7.8879511533242885</v>
      </c>
      <c r="S99" s="42">
        <f t="shared" si="29"/>
        <v>0.72279511533242891</v>
      </c>
      <c r="T99" s="42">
        <f t="shared" si="29"/>
        <v>3.36</v>
      </c>
      <c r="U99" s="42">
        <f t="shared" si="29"/>
        <v>1.26</v>
      </c>
      <c r="V99" s="42">
        <f t="shared" si="29"/>
        <v>0</v>
      </c>
      <c r="W99" s="42">
        <f t="shared" si="29"/>
        <v>5.5167706919945729</v>
      </c>
      <c r="X99" s="42">
        <f t="shared" si="29"/>
        <v>0</v>
      </c>
      <c r="Y99" s="42">
        <f t="shared" si="29"/>
        <v>256.40976933514241</v>
      </c>
      <c r="Z99" s="64"/>
    </row>
    <row r="100" spans="1:26" s="56" customFormat="1" x14ac:dyDescent="0.3">
      <c r="B100" s="11">
        <v>44197</v>
      </c>
      <c r="C100" s="56">
        <v>2</v>
      </c>
      <c r="E100" s="56" t="s">
        <v>74</v>
      </c>
      <c r="F100" s="42">
        <f>SUMIF($D$95:$D$97,2,F95:F97)</f>
        <v>190.8</v>
      </c>
      <c r="G100" s="42">
        <f t="shared" ref="G100:Y100" si="30">SUMIF($D$95:$D$97,2,G95:G97)</f>
        <v>26.630000000000003</v>
      </c>
      <c r="H100" s="42">
        <f t="shared" si="30"/>
        <v>4.55</v>
      </c>
      <c r="I100" s="42">
        <f t="shared" si="30"/>
        <v>0.19999999999999998</v>
      </c>
      <c r="J100" s="42">
        <f t="shared" si="30"/>
        <v>0.30000000000000004</v>
      </c>
      <c r="K100" s="42">
        <f t="shared" si="30"/>
        <v>0</v>
      </c>
      <c r="L100" s="42">
        <f t="shared" si="30"/>
        <v>2.25</v>
      </c>
      <c r="M100" s="42">
        <f t="shared" si="30"/>
        <v>5.8000000000000007</v>
      </c>
      <c r="N100" s="42">
        <f t="shared" si="30"/>
        <v>0</v>
      </c>
      <c r="O100" s="42">
        <f t="shared" si="30"/>
        <v>0.88000000000000012</v>
      </c>
      <c r="P100" s="42">
        <f t="shared" si="30"/>
        <v>0</v>
      </c>
      <c r="Q100" s="42">
        <f t="shared" si="30"/>
        <v>4.45</v>
      </c>
      <c r="R100" s="42">
        <f t="shared" si="30"/>
        <v>1.4</v>
      </c>
      <c r="S100" s="42">
        <f t="shared" si="30"/>
        <v>0</v>
      </c>
      <c r="T100" s="42">
        <f t="shared" si="30"/>
        <v>5.95</v>
      </c>
      <c r="U100" s="42">
        <f t="shared" si="30"/>
        <v>0.85</v>
      </c>
      <c r="V100" s="42">
        <f t="shared" si="30"/>
        <v>0</v>
      </c>
      <c r="W100" s="42">
        <f t="shared" si="30"/>
        <v>0</v>
      </c>
      <c r="X100" s="42">
        <f t="shared" si="30"/>
        <v>0</v>
      </c>
      <c r="Y100" s="42">
        <f t="shared" si="30"/>
        <v>164.17000000000002</v>
      </c>
    </row>
    <row r="101" spans="1:26" x14ac:dyDescent="0.3">
      <c r="H101" s="3"/>
      <c r="I101" s="3"/>
      <c r="J101" s="3"/>
      <c r="K101" s="3"/>
      <c r="L101" s="3"/>
      <c r="M101" s="3"/>
      <c r="N101" s="3"/>
      <c r="O101" s="3"/>
      <c r="P101" s="3"/>
      <c r="Q101" s="3"/>
      <c r="R101" s="3"/>
      <c r="S101" s="3"/>
      <c r="T101" s="3"/>
      <c r="U101" s="3"/>
      <c r="V101" s="3"/>
      <c r="W101" s="3"/>
      <c r="X101" s="3"/>
      <c r="Y101" s="3"/>
    </row>
    <row r="102" spans="1:26" x14ac:dyDescent="0.3">
      <c r="H102" s="3"/>
      <c r="I102" s="3"/>
      <c r="J102" s="3"/>
      <c r="K102" s="3"/>
      <c r="L102" s="3"/>
      <c r="M102" s="3"/>
      <c r="N102" s="3"/>
      <c r="O102" s="3"/>
      <c r="P102" s="3"/>
      <c r="Q102" s="3"/>
      <c r="R102" s="3"/>
      <c r="S102" s="3"/>
      <c r="T102" s="3"/>
      <c r="U102" s="3"/>
      <c r="V102" s="3"/>
      <c r="W102" s="3"/>
      <c r="X102" s="3"/>
      <c r="Y102" s="3"/>
    </row>
    <row r="103" spans="1:26" x14ac:dyDescent="0.3">
      <c r="H103" s="3"/>
      <c r="I103" s="3"/>
      <c r="J103" s="3"/>
      <c r="K103" s="3"/>
      <c r="L103" s="3"/>
      <c r="M103" s="3"/>
      <c r="N103" s="3"/>
      <c r="O103" s="3"/>
      <c r="P103" s="3"/>
      <c r="Q103" s="3"/>
      <c r="R103" s="3"/>
      <c r="S103" s="3"/>
      <c r="T103" s="3"/>
      <c r="U103" s="3"/>
      <c r="V103" s="3"/>
      <c r="W103" s="3"/>
      <c r="X103" s="3"/>
      <c r="Y103" s="3"/>
    </row>
    <row r="104" spans="1:26" x14ac:dyDescent="0.3">
      <c r="H104" s="3"/>
      <c r="I104" s="3"/>
      <c r="J104" s="3"/>
      <c r="K104" s="3"/>
      <c r="L104" s="3"/>
      <c r="M104" s="3"/>
      <c r="N104" s="3"/>
      <c r="O104" s="3"/>
      <c r="P104" s="3"/>
      <c r="Q104" s="3"/>
      <c r="R104" s="3"/>
      <c r="S104" s="3"/>
      <c r="T104" s="3"/>
      <c r="U104" s="3"/>
      <c r="V104" s="3"/>
      <c r="W104" s="3"/>
      <c r="X104" s="3"/>
      <c r="Y104" s="3"/>
    </row>
    <row r="105" spans="1:26" x14ac:dyDescent="0.3">
      <c r="B105" s="11" t="s">
        <v>27</v>
      </c>
    </row>
    <row r="106" spans="1:26" x14ac:dyDescent="0.3">
      <c r="B106" s="11" t="s">
        <v>16</v>
      </c>
      <c r="I106" t="s">
        <v>39</v>
      </c>
      <c r="K106" t="s">
        <v>46</v>
      </c>
    </row>
    <row r="107" spans="1:26" x14ac:dyDescent="0.3">
      <c r="B107" s="6">
        <v>0</v>
      </c>
      <c r="C107" t="s">
        <v>37</v>
      </c>
      <c r="I107">
        <v>1</v>
      </c>
      <c r="J107" t="s">
        <v>40</v>
      </c>
      <c r="K107">
        <v>0</v>
      </c>
      <c r="L107" t="s">
        <v>47</v>
      </c>
    </row>
    <row r="108" spans="1:26" x14ac:dyDescent="0.3">
      <c r="B108" s="6">
        <v>1</v>
      </c>
      <c r="C108" t="s">
        <v>28</v>
      </c>
      <c r="I108">
        <v>2</v>
      </c>
      <c r="J108" t="s">
        <v>41</v>
      </c>
      <c r="K108">
        <v>1</v>
      </c>
      <c r="L108" t="s">
        <v>48</v>
      </c>
    </row>
    <row r="109" spans="1:26" x14ac:dyDescent="0.3">
      <c r="B109" s="6">
        <v>2</v>
      </c>
      <c r="C109" t="s">
        <v>29</v>
      </c>
      <c r="I109">
        <v>3</v>
      </c>
      <c r="J109" t="s">
        <v>42</v>
      </c>
      <c r="K109">
        <v>2</v>
      </c>
      <c r="L109" t="s">
        <v>49</v>
      </c>
    </row>
    <row r="110" spans="1:26" x14ac:dyDescent="0.3">
      <c r="I110">
        <v>4</v>
      </c>
      <c r="J110" t="s">
        <v>43</v>
      </c>
    </row>
    <row r="111" spans="1:26" x14ac:dyDescent="0.3">
      <c r="B111" s="11" t="s">
        <v>30</v>
      </c>
      <c r="I111">
        <v>5</v>
      </c>
      <c r="J111" t="s">
        <v>44</v>
      </c>
    </row>
    <row r="112" spans="1:26" x14ac:dyDescent="0.3">
      <c r="B112" s="6">
        <v>1</v>
      </c>
      <c r="C112" t="s">
        <v>32</v>
      </c>
      <c r="I112">
        <v>6</v>
      </c>
      <c r="J112" t="s">
        <v>45</v>
      </c>
    </row>
    <row r="113" spans="2:25" x14ac:dyDescent="0.3">
      <c r="B113" s="6">
        <v>2</v>
      </c>
      <c r="C113" t="s">
        <v>33</v>
      </c>
      <c r="I113">
        <v>7</v>
      </c>
      <c r="J113" t="s">
        <v>40</v>
      </c>
    </row>
    <row r="114" spans="2:25" x14ac:dyDescent="0.3">
      <c r="B114" s="6">
        <v>3</v>
      </c>
      <c r="C114" t="s">
        <v>34</v>
      </c>
    </row>
    <row r="115" spans="2:25" x14ac:dyDescent="0.3">
      <c r="B115" s="6">
        <v>4</v>
      </c>
      <c r="C115" t="s">
        <v>35</v>
      </c>
    </row>
    <row r="116" spans="2:25" x14ac:dyDescent="0.3">
      <c r="B116" s="6">
        <v>5</v>
      </c>
      <c r="C116" t="s">
        <v>31</v>
      </c>
    </row>
    <row r="117" spans="2:25" x14ac:dyDescent="0.3">
      <c r="B117" s="6">
        <v>6</v>
      </c>
      <c r="C117" t="s">
        <v>36</v>
      </c>
    </row>
    <row r="119" spans="2:25" x14ac:dyDescent="0.3">
      <c r="H119" s="3"/>
      <c r="I119" s="3"/>
      <c r="J119" s="3"/>
      <c r="K119" s="3"/>
      <c r="L119" s="3"/>
      <c r="M119" s="3"/>
      <c r="N119" s="3"/>
      <c r="O119" s="3"/>
      <c r="P119" s="3"/>
      <c r="Q119" s="3"/>
      <c r="R119" s="3"/>
      <c r="S119" s="3"/>
      <c r="T119" s="3"/>
      <c r="U119" s="3"/>
      <c r="V119" s="3"/>
      <c r="W119" s="3"/>
      <c r="X119" s="3"/>
      <c r="Y119" s="3"/>
    </row>
    <row r="120" spans="2:25" x14ac:dyDescent="0.3">
      <c r="H120" s="3"/>
      <c r="I120" s="3"/>
      <c r="J120" s="3"/>
      <c r="K120" s="3"/>
      <c r="L120" s="3"/>
      <c r="M120" s="3"/>
      <c r="N120" s="3"/>
      <c r="O120" s="3"/>
      <c r="P120" s="3"/>
      <c r="Q120" s="3"/>
      <c r="R120" s="3"/>
      <c r="S120" s="3"/>
      <c r="T120" s="3"/>
      <c r="U120" s="3"/>
      <c r="V120" s="3"/>
      <c r="W120" s="3"/>
      <c r="X120" s="3"/>
      <c r="Y120" s="3"/>
    </row>
    <row r="121" spans="2:25" x14ac:dyDescent="0.3">
      <c r="H121" s="3"/>
      <c r="I121" s="3"/>
      <c r="J121" s="3"/>
      <c r="K121" s="3"/>
      <c r="L121" s="3"/>
      <c r="M121" s="3"/>
      <c r="N121" s="3"/>
      <c r="O121" s="3"/>
      <c r="P121" s="3"/>
      <c r="Q121" s="3"/>
      <c r="R121" s="3"/>
      <c r="S121" s="3"/>
      <c r="T121" s="3"/>
      <c r="U121" s="3"/>
      <c r="V121" s="3"/>
      <c r="W121" s="3"/>
      <c r="X121" s="3"/>
      <c r="Y121" s="3"/>
    </row>
    <row r="122" spans="2:25" x14ac:dyDescent="0.3">
      <c r="H122" s="3"/>
      <c r="I122" s="3"/>
      <c r="J122" s="3"/>
      <c r="K122" s="3"/>
      <c r="L122" s="3"/>
      <c r="M122" s="3"/>
      <c r="N122" s="3"/>
      <c r="O122" s="3"/>
      <c r="P122" s="3"/>
      <c r="Q122" s="3"/>
      <c r="R122" s="3"/>
      <c r="S122" s="3"/>
      <c r="T122" s="3"/>
      <c r="U122" s="3"/>
      <c r="V122" s="3"/>
      <c r="W122" s="3"/>
      <c r="X122" s="3"/>
      <c r="Y122" s="3"/>
    </row>
    <row r="123" spans="2:25" x14ac:dyDescent="0.3">
      <c r="H123" s="3"/>
      <c r="I123" s="3"/>
      <c r="J123" s="3"/>
      <c r="K123" s="3"/>
      <c r="L123" s="3"/>
      <c r="M123" s="3"/>
      <c r="N123" s="3"/>
      <c r="O123" s="3"/>
      <c r="P123" s="3"/>
      <c r="Q123" s="3"/>
      <c r="R123" s="3"/>
      <c r="S123" s="3"/>
      <c r="T123" s="3"/>
      <c r="U123" s="3"/>
      <c r="V123" s="3"/>
      <c r="W123" s="3"/>
      <c r="X123" s="3"/>
      <c r="Y123" s="3"/>
    </row>
    <row r="124" spans="2:25" x14ac:dyDescent="0.3">
      <c r="H124" s="3"/>
      <c r="I124" s="3"/>
      <c r="J124" s="3"/>
      <c r="K124" s="3"/>
      <c r="L124" s="3"/>
      <c r="M124" s="3"/>
      <c r="N124" s="3"/>
      <c r="O124" s="3"/>
      <c r="P124" s="3"/>
      <c r="Q124" s="3"/>
      <c r="R124" s="3"/>
      <c r="S124" s="3"/>
      <c r="T124" s="3"/>
      <c r="U124" s="3"/>
      <c r="V124" s="3"/>
      <c r="W124" s="3"/>
      <c r="X124" s="3"/>
      <c r="Y124" s="3"/>
    </row>
    <row r="125" spans="2:25" x14ac:dyDescent="0.3">
      <c r="H125" s="3"/>
      <c r="I125" s="3"/>
      <c r="J125" s="3"/>
      <c r="K125" s="3"/>
      <c r="L125" s="3"/>
      <c r="M125" s="3"/>
      <c r="N125" s="3"/>
      <c r="O125" s="3"/>
      <c r="P125" s="3"/>
      <c r="Q125" s="3"/>
      <c r="R125" s="3"/>
      <c r="S125" s="3"/>
      <c r="T125" s="3"/>
      <c r="U125" s="3"/>
      <c r="V125" s="3"/>
      <c r="W125" s="3"/>
      <c r="X125" s="3"/>
      <c r="Y125" s="3"/>
    </row>
    <row r="126" spans="2:25" x14ac:dyDescent="0.3">
      <c r="H126" s="3"/>
      <c r="I126" s="3"/>
      <c r="J126" s="3"/>
      <c r="K126" s="3"/>
      <c r="L126" s="3"/>
      <c r="M126" s="3"/>
      <c r="N126" s="3"/>
      <c r="O126" s="3"/>
      <c r="P126" s="3"/>
      <c r="Q126" s="3"/>
      <c r="R126" s="3"/>
      <c r="S126" s="3"/>
      <c r="T126" s="3"/>
      <c r="U126" s="3"/>
      <c r="V126" s="3"/>
      <c r="W126" s="3"/>
      <c r="X126" s="3"/>
      <c r="Y126" s="3"/>
    </row>
    <row r="127" spans="2:25" x14ac:dyDescent="0.3">
      <c r="H127" s="3"/>
      <c r="I127" s="3"/>
      <c r="J127" s="3"/>
      <c r="K127" s="3"/>
      <c r="L127" s="3"/>
      <c r="M127" s="3"/>
      <c r="N127" s="3"/>
      <c r="O127" s="3"/>
      <c r="P127" s="3"/>
      <c r="Q127" s="3"/>
      <c r="R127" s="3"/>
      <c r="S127" s="3"/>
      <c r="T127" s="3"/>
      <c r="U127" s="3"/>
      <c r="V127" s="3"/>
      <c r="W127" s="3"/>
      <c r="X127" s="3"/>
      <c r="Y127" s="3"/>
    </row>
    <row r="128" spans="2:25" x14ac:dyDescent="0.3">
      <c r="H128" s="3"/>
      <c r="I128" s="3"/>
      <c r="J128" s="3"/>
      <c r="K128" s="3"/>
      <c r="L128" s="3"/>
      <c r="M128" s="3"/>
      <c r="N128" s="3"/>
      <c r="O128" s="3"/>
      <c r="P128" s="3"/>
      <c r="Q128" s="3"/>
      <c r="R128" s="3"/>
      <c r="S128" s="3"/>
      <c r="T128" s="3"/>
      <c r="U128" s="3"/>
      <c r="V128" s="3"/>
      <c r="W128" s="3"/>
      <c r="X128" s="3"/>
      <c r="Y128" s="3"/>
    </row>
    <row r="129" spans="8:25" x14ac:dyDescent="0.3">
      <c r="H129" s="3"/>
      <c r="I129" s="3"/>
      <c r="J129" s="3"/>
      <c r="K129" s="3"/>
      <c r="L129" s="3"/>
      <c r="M129" s="3"/>
      <c r="N129" s="3"/>
      <c r="O129" s="3"/>
      <c r="P129" s="3"/>
      <c r="Q129" s="3"/>
      <c r="R129" s="3"/>
      <c r="S129" s="3"/>
      <c r="T129" s="3"/>
      <c r="U129" s="3"/>
      <c r="V129" s="3"/>
      <c r="W129" s="3"/>
      <c r="X129" s="3"/>
      <c r="Y129" s="3"/>
    </row>
    <row r="130" spans="8:25" x14ac:dyDescent="0.3">
      <c r="H130" s="3"/>
      <c r="I130" s="3"/>
      <c r="J130" s="3"/>
      <c r="K130" s="3"/>
      <c r="L130" s="3"/>
      <c r="M130" s="3"/>
      <c r="N130" s="3"/>
      <c r="O130" s="3"/>
      <c r="P130" s="3"/>
      <c r="Q130" s="3"/>
      <c r="R130" s="3"/>
      <c r="S130" s="3"/>
      <c r="T130" s="3"/>
      <c r="U130" s="3"/>
      <c r="V130" s="3"/>
      <c r="W130" s="3"/>
      <c r="X130" s="3"/>
      <c r="Y130" s="3"/>
    </row>
    <row r="131" spans="8:25" x14ac:dyDescent="0.3">
      <c r="H131" s="3"/>
      <c r="I131" s="3"/>
      <c r="J131" s="3"/>
      <c r="K131" s="3"/>
      <c r="L131" s="3"/>
      <c r="M131" s="3"/>
      <c r="N131" s="3"/>
      <c r="O131" s="3"/>
      <c r="P131" s="3"/>
      <c r="Q131" s="3"/>
      <c r="R131" s="3"/>
      <c r="S131" s="3"/>
      <c r="T131" s="3"/>
      <c r="U131" s="3"/>
      <c r="V131" s="3"/>
      <c r="W131" s="3"/>
      <c r="X131" s="3"/>
      <c r="Y131" s="3"/>
    </row>
    <row r="132" spans="8:25" x14ac:dyDescent="0.3">
      <c r="H132" s="3"/>
      <c r="I132" s="3"/>
      <c r="J132" s="3"/>
      <c r="K132" s="3"/>
      <c r="L132" s="3"/>
      <c r="M132" s="3"/>
      <c r="N132" s="3"/>
      <c r="O132" s="3"/>
      <c r="P132" s="3"/>
      <c r="Q132" s="3"/>
      <c r="R132" s="3"/>
      <c r="S132" s="3"/>
      <c r="T132" s="3"/>
      <c r="U132" s="3"/>
      <c r="V132" s="3"/>
      <c r="W132" s="3"/>
      <c r="X132" s="3"/>
      <c r="Y132" s="3"/>
    </row>
    <row r="133" spans="8:25" x14ac:dyDescent="0.3">
      <c r="H133" s="3"/>
      <c r="I133" s="3"/>
      <c r="J133" s="3"/>
      <c r="K133" s="3"/>
      <c r="L133" s="3"/>
      <c r="M133" s="3"/>
      <c r="N133" s="3"/>
      <c r="O133" s="3"/>
      <c r="P133" s="3"/>
      <c r="Q133" s="3"/>
      <c r="R133" s="3"/>
      <c r="S133" s="3"/>
      <c r="T133" s="3"/>
      <c r="U133" s="3"/>
      <c r="V133" s="3"/>
      <c r="W133" s="3"/>
      <c r="X133" s="3"/>
      <c r="Y133" s="3"/>
    </row>
    <row r="134" spans="8:25" x14ac:dyDescent="0.3">
      <c r="H134" s="3"/>
      <c r="I134" s="3"/>
      <c r="J134" s="3"/>
      <c r="K134" s="3"/>
      <c r="L134" s="3"/>
      <c r="M134" s="3"/>
      <c r="N134" s="3"/>
      <c r="O134" s="3"/>
      <c r="P134" s="3"/>
      <c r="Q134" s="3"/>
      <c r="R134" s="3"/>
      <c r="S134" s="3"/>
      <c r="T134" s="3"/>
      <c r="U134" s="3"/>
      <c r="V134" s="3"/>
      <c r="W134" s="3"/>
      <c r="X134" s="3"/>
      <c r="Y134" s="3"/>
    </row>
    <row r="135" spans="8:25" x14ac:dyDescent="0.3">
      <c r="H135" s="3"/>
      <c r="I135" s="3"/>
      <c r="J135" s="3"/>
      <c r="K135" s="3"/>
      <c r="L135" s="3"/>
      <c r="M135" s="3"/>
      <c r="N135" s="3"/>
      <c r="O135" s="3"/>
      <c r="P135" s="3"/>
      <c r="Q135" s="3"/>
      <c r="R135" s="3"/>
      <c r="S135" s="3"/>
      <c r="T135" s="3"/>
      <c r="U135" s="3"/>
      <c r="V135" s="3"/>
      <c r="W135" s="3"/>
      <c r="X135" s="3"/>
      <c r="Y135" s="3"/>
    </row>
    <row r="136" spans="8:25" x14ac:dyDescent="0.3">
      <c r="H136" s="3"/>
      <c r="I136" s="3"/>
      <c r="J136" s="3"/>
      <c r="K136" s="3"/>
      <c r="L136" s="3"/>
      <c r="M136" s="3"/>
      <c r="N136" s="3"/>
      <c r="O136" s="3"/>
      <c r="P136" s="3"/>
      <c r="Q136" s="3"/>
      <c r="R136" s="3"/>
      <c r="S136" s="3"/>
      <c r="T136" s="3"/>
      <c r="U136" s="3"/>
      <c r="V136" s="3"/>
      <c r="W136" s="3"/>
      <c r="X136" s="3"/>
      <c r="Y136" s="3"/>
    </row>
    <row r="137" spans="8:25" x14ac:dyDescent="0.3">
      <c r="H137" s="3"/>
      <c r="I137" s="3"/>
      <c r="J137" s="3"/>
      <c r="K137" s="3"/>
      <c r="L137" s="3"/>
      <c r="M137" s="3"/>
      <c r="N137" s="3"/>
      <c r="O137" s="3"/>
      <c r="P137" s="3"/>
      <c r="Q137" s="3"/>
      <c r="R137" s="3"/>
      <c r="S137" s="3"/>
      <c r="T137" s="3"/>
      <c r="U137" s="3"/>
      <c r="V137" s="3"/>
      <c r="W137" s="3"/>
      <c r="X137" s="3"/>
      <c r="Y137" s="3"/>
    </row>
    <row r="138" spans="8:25" x14ac:dyDescent="0.3">
      <c r="H138" s="3"/>
      <c r="I138" s="3"/>
      <c r="J138" s="3"/>
      <c r="K138" s="3"/>
      <c r="L138" s="3"/>
      <c r="M138" s="3"/>
      <c r="N138" s="3"/>
      <c r="O138" s="3"/>
      <c r="P138" s="3"/>
      <c r="Q138" s="3"/>
      <c r="R138" s="3"/>
      <c r="S138" s="3"/>
      <c r="T138" s="3"/>
      <c r="U138" s="3"/>
      <c r="V138" s="3"/>
      <c r="W138" s="3"/>
      <c r="X138" s="3"/>
      <c r="Y138" s="3"/>
    </row>
    <row r="139" spans="8:25" x14ac:dyDescent="0.3">
      <c r="H139" s="3"/>
      <c r="I139" s="3"/>
      <c r="J139" s="3"/>
      <c r="K139" s="3"/>
      <c r="L139" s="3"/>
      <c r="M139" s="3"/>
      <c r="N139" s="3"/>
      <c r="O139" s="3"/>
      <c r="P139" s="3"/>
      <c r="Q139" s="3"/>
      <c r="R139" s="3"/>
      <c r="S139" s="3"/>
      <c r="T139" s="3"/>
      <c r="U139" s="3"/>
      <c r="V139" s="3"/>
      <c r="W139" s="3"/>
      <c r="X139" s="3"/>
      <c r="Y139" s="3"/>
    </row>
    <row r="140" spans="8:25" x14ac:dyDescent="0.3">
      <c r="H140" s="3"/>
      <c r="I140" s="3"/>
      <c r="J140" s="3"/>
      <c r="K140" s="3"/>
      <c r="L140" s="3"/>
      <c r="M140" s="3"/>
      <c r="N140" s="3"/>
      <c r="O140" s="3"/>
      <c r="P140" s="3"/>
      <c r="Q140" s="3"/>
      <c r="R140" s="3"/>
      <c r="S140" s="3"/>
      <c r="T140" s="3"/>
      <c r="U140" s="3"/>
      <c r="V140" s="3"/>
      <c r="W140" s="3"/>
      <c r="X140" s="3"/>
      <c r="Y140" s="3"/>
    </row>
    <row r="141" spans="8:25" x14ac:dyDescent="0.3">
      <c r="H141" s="3"/>
      <c r="I141" s="3"/>
      <c r="J141" s="3"/>
      <c r="K141" s="3"/>
      <c r="L141" s="3"/>
      <c r="M141" s="3"/>
      <c r="N141" s="3"/>
      <c r="O141" s="3"/>
      <c r="P141" s="3"/>
      <c r="Q141" s="3"/>
      <c r="R141" s="3"/>
      <c r="S141" s="3"/>
      <c r="T141" s="3"/>
      <c r="U141" s="3"/>
      <c r="V141" s="3"/>
      <c r="W141" s="3"/>
      <c r="X141" s="3"/>
      <c r="Y141" s="3"/>
    </row>
    <row r="142" spans="8:25" x14ac:dyDescent="0.3">
      <c r="H142" s="3"/>
      <c r="I142" s="3"/>
      <c r="J142" s="3"/>
      <c r="K142" s="3"/>
      <c r="L142" s="3"/>
      <c r="M142" s="3"/>
      <c r="N142" s="3"/>
      <c r="O142" s="3"/>
      <c r="P142" s="3"/>
      <c r="Q142" s="3"/>
      <c r="R142" s="3"/>
      <c r="S142" s="3"/>
      <c r="T142" s="3"/>
      <c r="U142" s="3"/>
      <c r="V142" s="3"/>
      <c r="W142" s="3"/>
      <c r="X142" s="3"/>
      <c r="Y142" s="3"/>
    </row>
    <row r="143" spans="8:25" x14ac:dyDescent="0.3">
      <c r="H143" s="3"/>
      <c r="I143" s="3"/>
      <c r="J143" s="3"/>
      <c r="K143" s="3"/>
      <c r="L143" s="3"/>
      <c r="M143" s="3"/>
      <c r="N143" s="3"/>
      <c r="O143" s="3"/>
      <c r="P143" s="3"/>
      <c r="Q143" s="3"/>
      <c r="R143" s="3"/>
      <c r="S143" s="3"/>
      <c r="T143" s="3"/>
      <c r="U143" s="3"/>
      <c r="V143" s="3"/>
      <c r="W143" s="3"/>
      <c r="X143" s="3"/>
      <c r="Y143" s="3"/>
    </row>
    <row r="144" spans="8:25" x14ac:dyDescent="0.3">
      <c r="H144" s="3"/>
      <c r="I144" s="3"/>
      <c r="J144" s="3"/>
      <c r="K144" s="3"/>
      <c r="L144" s="3"/>
      <c r="M144" s="3"/>
      <c r="N144" s="3"/>
      <c r="O144" s="3"/>
      <c r="P144" s="3"/>
      <c r="Q144" s="3"/>
      <c r="R144" s="3"/>
      <c r="S144" s="3"/>
      <c r="T144" s="3"/>
      <c r="U144" s="3"/>
      <c r="V144" s="3"/>
      <c r="W144" s="3"/>
      <c r="X144" s="3"/>
      <c r="Y144" s="3"/>
    </row>
    <row r="145" spans="8:25" x14ac:dyDescent="0.3">
      <c r="H145" s="3"/>
      <c r="I145" s="3"/>
      <c r="J145" s="3"/>
      <c r="K145" s="3"/>
      <c r="L145" s="3"/>
      <c r="M145" s="3"/>
      <c r="N145" s="3"/>
      <c r="O145" s="3"/>
      <c r="P145" s="3"/>
      <c r="Q145" s="3"/>
      <c r="R145" s="3"/>
      <c r="S145" s="3"/>
      <c r="T145" s="3"/>
      <c r="U145" s="3"/>
      <c r="V145" s="3"/>
      <c r="W145" s="3"/>
      <c r="X145" s="3"/>
      <c r="Y145" s="3"/>
    </row>
    <row r="146" spans="8:25" x14ac:dyDescent="0.3">
      <c r="H146" s="3"/>
      <c r="I146" s="3"/>
      <c r="J146" s="3"/>
      <c r="K146" s="3"/>
      <c r="L146" s="3"/>
      <c r="M146" s="3"/>
      <c r="N146" s="3"/>
      <c r="O146" s="3"/>
      <c r="P146" s="3"/>
      <c r="Q146" s="3"/>
      <c r="R146" s="3"/>
      <c r="S146" s="3"/>
      <c r="T146" s="3"/>
      <c r="U146" s="3"/>
      <c r="V146" s="3"/>
      <c r="W146" s="3"/>
      <c r="X146" s="3"/>
      <c r="Y146" s="3"/>
    </row>
    <row r="147" spans="8:25" x14ac:dyDescent="0.3">
      <c r="H147" s="3"/>
      <c r="I147" s="3"/>
      <c r="J147" s="3"/>
      <c r="K147" s="3"/>
      <c r="L147" s="3"/>
      <c r="M147" s="3"/>
      <c r="N147" s="3"/>
      <c r="O147" s="3"/>
      <c r="P147" s="3"/>
      <c r="Q147" s="3"/>
      <c r="R147" s="3"/>
      <c r="S147" s="3"/>
      <c r="T147" s="3"/>
      <c r="U147" s="3"/>
      <c r="V147" s="3"/>
      <c r="W147" s="3"/>
      <c r="X147" s="3"/>
      <c r="Y147" s="3"/>
    </row>
    <row r="148" spans="8:25" x14ac:dyDescent="0.3">
      <c r="H148" s="3"/>
      <c r="I148" s="3"/>
      <c r="J148" s="3"/>
      <c r="K148" s="3"/>
      <c r="L148" s="3"/>
      <c r="M148" s="3"/>
      <c r="N148" s="3"/>
      <c r="O148" s="3"/>
      <c r="P148" s="3"/>
      <c r="Q148" s="3"/>
      <c r="R148" s="3"/>
      <c r="S148" s="3"/>
      <c r="T148" s="3"/>
      <c r="U148" s="3"/>
      <c r="V148" s="3"/>
      <c r="W148" s="3"/>
      <c r="X148" s="3"/>
      <c r="Y148" s="3"/>
    </row>
    <row r="149" spans="8:25" x14ac:dyDescent="0.3">
      <c r="H149" s="3"/>
      <c r="I149" s="3"/>
      <c r="J149" s="3"/>
      <c r="K149" s="3"/>
      <c r="L149" s="3"/>
      <c r="M149" s="3"/>
      <c r="N149" s="3"/>
      <c r="O149" s="3"/>
      <c r="P149" s="3"/>
      <c r="Q149" s="3"/>
      <c r="R149" s="3"/>
      <c r="S149" s="3"/>
      <c r="T149" s="3"/>
      <c r="U149" s="3"/>
      <c r="V149" s="3"/>
      <c r="W149" s="3"/>
      <c r="X149" s="3"/>
      <c r="Y149" s="3"/>
    </row>
    <row r="150" spans="8:25" x14ac:dyDescent="0.3">
      <c r="H150" s="3"/>
      <c r="I150" s="3"/>
      <c r="J150" s="3"/>
      <c r="K150" s="3"/>
      <c r="L150" s="3"/>
      <c r="M150" s="3"/>
      <c r="N150" s="3"/>
      <c r="O150" s="3"/>
      <c r="P150" s="3"/>
      <c r="Q150" s="3"/>
      <c r="R150" s="3"/>
      <c r="S150" s="3"/>
      <c r="T150" s="3"/>
      <c r="U150" s="3"/>
      <c r="V150" s="3"/>
      <c r="W150" s="3"/>
      <c r="X150" s="3"/>
      <c r="Y150" s="3"/>
    </row>
    <row r="151" spans="8:25" x14ac:dyDescent="0.3">
      <c r="H151" s="3"/>
      <c r="I151" s="3"/>
      <c r="J151" s="3"/>
      <c r="K151" s="3"/>
      <c r="L151" s="3"/>
      <c r="M151" s="3"/>
      <c r="N151" s="3"/>
      <c r="O151" s="3"/>
      <c r="P151" s="3"/>
      <c r="Q151" s="3"/>
      <c r="R151" s="3"/>
      <c r="S151" s="3"/>
      <c r="T151" s="3"/>
      <c r="U151" s="3"/>
      <c r="V151" s="3"/>
      <c r="W151" s="3"/>
      <c r="X151" s="3"/>
      <c r="Y151" s="3"/>
    </row>
    <row r="152" spans="8:25" x14ac:dyDescent="0.3">
      <c r="H152" s="3"/>
      <c r="I152" s="3"/>
      <c r="J152" s="3"/>
      <c r="K152" s="3"/>
      <c r="L152" s="3"/>
      <c r="M152" s="3"/>
      <c r="N152" s="3"/>
      <c r="O152" s="3"/>
      <c r="P152" s="3"/>
      <c r="Q152" s="3"/>
      <c r="R152" s="3"/>
      <c r="S152" s="3"/>
      <c r="T152" s="3"/>
      <c r="U152" s="3"/>
      <c r="V152" s="3"/>
      <c r="W152" s="3"/>
      <c r="X152" s="3"/>
      <c r="Y152" s="3"/>
    </row>
    <row r="153" spans="8:25" x14ac:dyDescent="0.3">
      <c r="H153" s="3"/>
      <c r="I153" s="3"/>
      <c r="J153" s="3"/>
      <c r="K153" s="3"/>
      <c r="L153" s="3"/>
      <c r="M153" s="3"/>
      <c r="N153" s="3"/>
      <c r="O153" s="3"/>
      <c r="P153" s="3"/>
      <c r="Q153" s="3"/>
      <c r="R153" s="3"/>
      <c r="S153" s="3"/>
      <c r="T153" s="3"/>
      <c r="U153" s="3"/>
      <c r="V153" s="3"/>
      <c r="W153" s="3"/>
      <c r="X153" s="3"/>
      <c r="Y153" s="3"/>
    </row>
    <row r="154" spans="8:25" x14ac:dyDescent="0.3">
      <c r="H154" s="3"/>
      <c r="I154" s="3"/>
      <c r="J154" s="3"/>
      <c r="K154" s="3"/>
      <c r="L154" s="3"/>
      <c r="M154" s="3"/>
      <c r="N154" s="3"/>
      <c r="O154" s="3"/>
      <c r="P154" s="3"/>
      <c r="Q154" s="3"/>
      <c r="R154" s="3"/>
      <c r="S154" s="3"/>
      <c r="T154" s="3"/>
      <c r="U154" s="3"/>
      <c r="V154" s="3"/>
      <c r="W154" s="3"/>
      <c r="X154" s="3"/>
      <c r="Y154" s="3"/>
    </row>
    <row r="155" spans="8:25" x14ac:dyDescent="0.3">
      <c r="H155" s="3"/>
      <c r="I155" s="3"/>
      <c r="J155" s="3"/>
      <c r="K155" s="3"/>
      <c r="L155" s="3"/>
      <c r="M155" s="3"/>
      <c r="N155" s="3"/>
      <c r="O155" s="3"/>
      <c r="P155" s="3"/>
      <c r="Q155" s="3"/>
      <c r="R155" s="3"/>
      <c r="S155" s="3"/>
      <c r="T155" s="3"/>
      <c r="U155" s="3"/>
      <c r="V155" s="3"/>
      <c r="W155" s="3"/>
      <c r="X155" s="3"/>
      <c r="Y155" s="3"/>
    </row>
    <row r="156" spans="8:25" x14ac:dyDescent="0.3">
      <c r="H156" s="3"/>
      <c r="I156" s="3"/>
      <c r="J156" s="3"/>
      <c r="K156" s="3"/>
      <c r="L156" s="3"/>
      <c r="M156" s="3"/>
      <c r="N156" s="3"/>
      <c r="O156" s="3"/>
      <c r="P156" s="3"/>
      <c r="Q156" s="3"/>
      <c r="R156" s="3"/>
      <c r="S156" s="3"/>
      <c r="T156" s="3"/>
      <c r="U156" s="3"/>
      <c r="V156" s="3"/>
      <c r="W156" s="3"/>
      <c r="X156" s="3"/>
      <c r="Y156" s="3"/>
    </row>
    <row r="157" spans="8:25" x14ac:dyDescent="0.3">
      <c r="H157" s="3"/>
      <c r="I157" s="3"/>
      <c r="J157" s="3"/>
      <c r="K157" s="3"/>
      <c r="L157" s="3"/>
      <c r="M157" s="3"/>
      <c r="N157" s="3"/>
      <c r="O157" s="3"/>
      <c r="P157" s="3"/>
      <c r="Q157" s="3"/>
      <c r="R157" s="3"/>
      <c r="S157" s="3"/>
      <c r="T157" s="3"/>
      <c r="U157" s="3"/>
      <c r="V157" s="3"/>
      <c r="W157" s="3"/>
      <c r="X157" s="3"/>
      <c r="Y157" s="3"/>
    </row>
    <row r="158" spans="8:25" x14ac:dyDescent="0.3">
      <c r="H158" s="3"/>
      <c r="I158" s="3"/>
      <c r="J158" s="3"/>
      <c r="K158" s="3"/>
      <c r="L158" s="3"/>
      <c r="M158" s="3"/>
      <c r="N158" s="3"/>
      <c r="O158" s="3"/>
      <c r="P158" s="3"/>
      <c r="Q158" s="3"/>
      <c r="R158" s="3"/>
      <c r="S158" s="3"/>
      <c r="T158" s="3"/>
      <c r="U158" s="3"/>
      <c r="V158" s="3"/>
      <c r="W158" s="3"/>
      <c r="X158" s="3"/>
      <c r="Y158" s="3"/>
    </row>
    <row r="159" spans="8:25" x14ac:dyDescent="0.3">
      <c r="H159" s="3"/>
      <c r="I159" s="3"/>
      <c r="J159" s="3"/>
      <c r="K159" s="3"/>
      <c r="L159" s="3"/>
      <c r="M159" s="3"/>
      <c r="N159" s="3"/>
      <c r="O159" s="3"/>
      <c r="P159" s="3"/>
      <c r="Q159" s="3"/>
      <c r="R159" s="3"/>
      <c r="S159" s="3"/>
      <c r="T159" s="3"/>
      <c r="U159" s="3"/>
      <c r="V159" s="3"/>
      <c r="W159" s="3"/>
      <c r="X159" s="3"/>
      <c r="Y159" s="3"/>
    </row>
    <row r="160" spans="8:25" x14ac:dyDescent="0.3">
      <c r="H160" s="3"/>
      <c r="I160" s="3"/>
      <c r="J160" s="3"/>
      <c r="K160" s="3"/>
      <c r="L160" s="3"/>
      <c r="M160" s="3"/>
      <c r="N160" s="3"/>
      <c r="O160" s="3"/>
      <c r="P160" s="3"/>
      <c r="Q160" s="3"/>
      <c r="R160" s="3"/>
      <c r="S160" s="3"/>
      <c r="T160" s="3"/>
      <c r="U160" s="3"/>
      <c r="V160" s="3"/>
      <c r="W160" s="3"/>
      <c r="X160" s="3"/>
      <c r="Y160" s="3"/>
    </row>
    <row r="161" spans="8:25" x14ac:dyDescent="0.3">
      <c r="H161" s="3"/>
      <c r="I161" s="3"/>
      <c r="J161" s="3"/>
      <c r="K161" s="3"/>
      <c r="L161" s="3"/>
      <c r="M161" s="3"/>
      <c r="N161" s="3"/>
      <c r="O161" s="3"/>
      <c r="P161" s="3"/>
      <c r="Q161" s="3"/>
      <c r="R161" s="3"/>
      <c r="S161" s="3"/>
      <c r="T161" s="3"/>
      <c r="U161" s="3"/>
      <c r="V161" s="3"/>
      <c r="W161" s="3"/>
      <c r="X161" s="3"/>
      <c r="Y161" s="3"/>
    </row>
    <row r="162" spans="8:25" x14ac:dyDescent="0.3">
      <c r="H162" s="3"/>
      <c r="I162" s="3"/>
      <c r="J162" s="3"/>
      <c r="K162" s="3"/>
      <c r="L162" s="3"/>
      <c r="M162" s="3"/>
      <c r="N162" s="3"/>
      <c r="O162" s="3"/>
      <c r="P162" s="3"/>
      <c r="Q162" s="3"/>
      <c r="R162" s="3"/>
      <c r="S162" s="3"/>
      <c r="T162" s="3"/>
      <c r="U162" s="3"/>
      <c r="V162" s="3"/>
      <c r="W162" s="3"/>
      <c r="X162" s="3"/>
      <c r="Y162" s="3"/>
    </row>
  </sheetData>
  <mergeCells count="25">
    <mergeCell ref="O1:P1"/>
    <mergeCell ref="Q1:S1"/>
    <mergeCell ref="T1:V1"/>
    <mergeCell ref="A1:A2"/>
    <mergeCell ref="B1:B2"/>
    <mergeCell ref="C1:C2"/>
    <mergeCell ref="D1:D2"/>
    <mergeCell ref="E1:E2"/>
    <mergeCell ref="F1:F2"/>
    <mergeCell ref="G1:G2"/>
    <mergeCell ref="H1:H2"/>
    <mergeCell ref="I1:K1"/>
    <mergeCell ref="L1:N1"/>
    <mergeCell ref="Z3:Z7"/>
    <mergeCell ref="Z12:Z18"/>
    <mergeCell ref="Z23:Z32"/>
    <mergeCell ref="Z37:Z41"/>
    <mergeCell ref="W1:W2"/>
    <mergeCell ref="X1:X2"/>
    <mergeCell ref="Y1:Y2"/>
    <mergeCell ref="Z46:Z55"/>
    <mergeCell ref="Z60:Z63"/>
    <mergeCell ref="Z68:Z75"/>
    <mergeCell ref="Z80:Z90"/>
    <mergeCell ref="Z95:Z97"/>
  </mergeCells>
  <pageMargins left="0.7" right="0.7" top="0.75" bottom="0.75" header="0.3" footer="0.3"/>
  <pageSetup paperSize="9" orientation="portrait" horizontalDpi="0" verticalDpi="0"/>
  <ignoredErrors>
    <ignoredError sqref="G4:G7 G11:G18 G22:G32 G36:G41 G45:G55 G59:G63 G67:G75 G79:G90 G94:G97 H42:Y42" formulaRange="1"/>
  </ignoredError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1"/>
  <sheetViews>
    <sheetView topLeftCell="A4" zoomScale="89" workbookViewId="0">
      <selection activeCell="W53" sqref="W53"/>
    </sheetView>
  </sheetViews>
  <sheetFormatPr defaultColWidth="11.5546875" defaultRowHeight="14.4" x14ac:dyDescent="0.3"/>
  <cols>
    <col min="8" max="25" width="10.33203125" customWidth="1"/>
  </cols>
  <sheetData>
    <row r="1" spans="1:29" s="8" customFormat="1" x14ac:dyDescent="0.3">
      <c r="A1" s="153" t="s">
        <v>30</v>
      </c>
      <c r="B1" s="156" t="s">
        <v>17</v>
      </c>
      <c r="C1" s="154" t="s">
        <v>38</v>
      </c>
      <c r="D1" s="153" t="s">
        <v>16</v>
      </c>
      <c r="E1" s="155" t="s">
        <v>46</v>
      </c>
      <c r="F1" s="155" t="s">
        <v>59</v>
      </c>
      <c r="G1" s="155" t="s">
        <v>60</v>
      </c>
      <c r="H1" s="152" t="s">
        <v>0</v>
      </c>
      <c r="I1" s="152" t="s">
        <v>1</v>
      </c>
      <c r="J1" s="152"/>
      <c r="K1" s="152"/>
      <c r="L1" s="152" t="s">
        <v>5</v>
      </c>
      <c r="M1" s="152"/>
      <c r="N1" s="152"/>
      <c r="O1" s="152" t="s">
        <v>6</v>
      </c>
      <c r="P1" s="152"/>
      <c r="Q1" s="151" t="s">
        <v>7</v>
      </c>
      <c r="R1" s="151"/>
      <c r="S1" s="151"/>
      <c r="T1" s="151" t="s">
        <v>9</v>
      </c>
      <c r="U1" s="151"/>
      <c r="V1" s="151"/>
      <c r="W1" s="151" t="s">
        <v>12</v>
      </c>
      <c r="X1" s="151" t="s">
        <v>13</v>
      </c>
      <c r="Y1" s="151" t="s">
        <v>14</v>
      </c>
    </row>
    <row r="2" spans="1:29" s="77" customFormat="1" ht="57.6" x14ac:dyDescent="0.3">
      <c r="A2" s="153"/>
      <c r="B2" s="156"/>
      <c r="C2" s="154"/>
      <c r="D2" s="153"/>
      <c r="E2" s="155"/>
      <c r="F2" s="155"/>
      <c r="G2" s="155"/>
      <c r="H2" s="152"/>
      <c r="I2" s="77" t="s">
        <v>2</v>
      </c>
      <c r="J2" s="77" t="s">
        <v>3</v>
      </c>
      <c r="K2" s="78" t="s">
        <v>4</v>
      </c>
      <c r="L2" s="77" t="s">
        <v>18</v>
      </c>
      <c r="M2" s="77" t="s">
        <v>19</v>
      </c>
      <c r="N2" s="77" t="s">
        <v>22</v>
      </c>
      <c r="O2" s="77" t="s">
        <v>20</v>
      </c>
      <c r="P2" s="77" t="s">
        <v>21</v>
      </c>
      <c r="Q2" s="77" t="s">
        <v>8</v>
      </c>
      <c r="R2" s="78" t="s">
        <v>15</v>
      </c>
      <c r="S2" s="78" t="s">
        <v>24</v>
      </c>
      <c r="T2" s="77" t="s">
        <v>10</v>
      </c>
      <c r="U2" s="77" t="s">
        <v>11</v>
      </c>
      <c r="V2" s="77" t="s">
        <v>23</v>
      </c>
      <c r="W2" s="151"/>
      <c r="X2" s="151"/>
      <c r="Y2" s="151"/>
    </row>
    <row r="3" spans="1:29" s="56" customFormat="1" x14ac:dyDescent="0.3">
      <c r="B3" s="11">
        <v>44187</v>
      </c>
      <c r="C3" s="63">
        <v>1</v>
      </c>
      <c r="E3" s="56" t="s">
        <v>73</v>
      </c>
      <c r="F3" s="42">
        <v>86.8</v>
      </c>
      <c r="G3" s="42">
        <f>SUM(H3:V3)+X3</f>
        <v>34.4</v>
      </c>
      <c r="H3" s="42">
        <v>8</v>
      </c>
      <c r="I3" s="42">
        <v>2.4500000000000002</v>
      </c>
      <c r="J3" s="42">
        <v>2.7</v>
      </c>
      <c r="K3" s="42">
        <v>0</v>
      </c>
      <c r="L3" s="42">
        <v>0.9</v>
      </c>
      <c r="M3" s="42">
        <v>0.2</v>
      </c>
      <c r="N3" s="42">
        <v>0</v>
      </c>
      <c r="O3" s="42">
        <v>1.85</v>
      </c>
      <c r="P3" s="42">
        <v>1.5</v>
      </c>
      <c r="Q3" s="42">
        <v>1.6</v>
      </c>
      <c r="R3" s="42">
        <v>0.95000000000000007</v>
      </c>
      <c r="S3" s="42">
        <v>0</v>
      </c>
      <c r="T3" s="42">
        <v>12.5</v>
      </c>
      <c r="U3" s="42">
        <v>1.75</v>
      </c>
      <c r="V3" s="42">
        <v>0</v>
      </c>
      <c r="W3" s="42">
        <v>0.5</v>
      </c>
      <c r="X3" s="42">
        <v>0</v>
      </c>
      <c r="Y3" s="42">
        <v>51.9</v>
      </c>
      <c r="Z3" s="8" t="s">
        <v>64</v>
      </c>
      <c r="AA3" s="65"/>
      <c r="AB3" s="66"/>
      <c r="AC3" s="66"/>
    </row>
    <row r="4" spans="1:29" s="56" customFormat="1" x14ac:dyDescent="0.3">
      <c r="B4" s="11">
        <v>44187</v>
      </c>
      <c r="C4" s="63">
        <v>2</v>
      </c>
      <c r="E4" s="56" t="s">
        <v>74</v>
      </c>
      <c r="F4" s="42">
        <v>79.05</v>
      </c>
      <c r="G4" s="42" cm="1">
        <f t="array" ref="G4">SUM(H4:V4+X4)</f>
        <v>40</v>
      </c>
      <c r="H4" s="42">
        <v>12.4</v>
      </c>
      <c r="I4" s="42">
        <v>3.25</v>
      </c>
      <c r="J4" s="42">
        <v>3.25</v>
      </c>
      <c r="K4" s="42">
        <v>0</v>
      </c>
      <c r="L4" s="42">
        <v>1.85</v>
      </c>
      <c r="M4" s="42">
        <v>0.55000000000000004</v>
      </c>
      <c r="N4" s="42">
        <v>0</v>
      </c>
      <c r="O4" s="42">
        <v>0.5</v>
      </c>
      <c r="P4" s="42">
        <v>0.25</v>
      </c>
      <c r="Q4" s="42">
        <v>5</v>
      </c>
      <c r="R4" s="42">
        <v>1.7000000000000002</v>
      </c>
      <c r="S4" s="42">
        <v>0</v>
      </c>
      <c r="T4" s="42">
        <v>8.3000000000000007</v>
      </c>
      <c r="U4" s="42">
        <v>2.95</v>
      </c>
      <c r="V4" s="42">
        <v>0</v>
      </c>
      <c r="W4" s="42">
        <v>1.95</v>
      </c>
      <c r="X4" s="42">
        <v>0</v>
      </c>
      <c r="Y4" s="42">
        <v>37.1</v>
      </c>
      <c r="Z4" s="8" t="s">
        <v>64</v>
      </c>
      <c r="AA4" s="65"/>
      <c r="AB4" s="66"/>
      <c r="AC4" s="66"/>
    </row>
    <row r="5" spans="1:29" s="43" customFormat="1" x14ac:dyDescent="0.3">
      <c r="G5" s="95">
        <f>SUM(H5:V5)+X5</f>
        <v>0</v>
      </c>
    </row>
    <row r="6" spans="1:29" s="56" customFormat="1" x14ac:dyDescent="0.3">
      <c r="B6" s="11">
        <v>44188</v>
      </c>
      <c r="C6" s="63">
        <v>1</v>
      </c>
      <c r="E6" s="56" t="s">
        <v>73</v>
      </c>
      <c r="F6" s="42">
        <v>119.19999999999999</v>
      </c>
      <c r="G6" s="42" cm="1">
        <f t="array" ref="G6">SUM(H6:V6+X6)</f>
        <v>41.349999999999994</v>
      </c>
      <c r="H6" s="42">
        <v>11.25</v>
      </c>
      <c r="I6" s="42">
        <v>3.85</v>
      </c>
      <c r="J6" s="42">
        <v>1.4</v>
      </c>
      <c r="K6" s="42">
        <v>0</v>
      </c>
      <c r="L6" s="42">
        <v>5.8999999999999995</v>
      </c>
      <c r="M6" s="42">
        <v>1.9</v>
      </c>
      <c r="N6" s="42">
        <v>0</v>
      </c>
      <c r="O6" s="42">
        <v>1.325</v>
      </c>
      <c r="P6" s="42">
        <v>0.875</v>
      </c>
      <c r="Q6" s="42">
        <v>5.8</v>
      </c>
      <c r="R6" s="42">
        <v>0.65</v>
      </c>
      <c r="S6" s="42">
        <v>0</v>
      </c>
      <c r="T6" s="42">
        <v>5.3</v>
      </c>
      <c r="U6" s="42">
        <v>2.5</v>
      </c>
      <c r="V6" s="42">
        <v>0.6</v>
      </c>
      <c r="W6" s="42">
        <v>1.6500000000000001</v>
      </c>
      <c r="X6" s="42">
        <v>0</v>
      </c>
      <c r="Y6" s="42">
        <v>76.199999999999989</v>
      </c>
      <c r="Z6" s="77" t="s">
        <v>66</v>
      </c>
      <c r="AA6" s="65"/>
      <c r="AB6" s="66"/>
      <c r="AC6" s="66"/>
    </row>
    <row r="7" spans="1:29" s="56" customFormat="1" x14ac:dyDescent="0.3">
      <c r="B7" s="11">
        <v>44188</v>
      </c>
      <c r="C7" s="63">
        <v>2</v>
      </c>
      <c r="E7" s="56" t="s">
        <v>74</v>
      </c>
      <c r="F7" s="42">
        <v>93.5</v>
      </c>
      <c r="G7" s="42">
        <f>SUM(H7:V7)+X7</f>
        <v>46.5</v>
      </c>
      <c r="H7" s="42">
        <v>11.7</v>
      </c>
      <c r="I7" s="42">
        <v>3.95</v>
      </c>
      <c r="J7" s="42">
        <v>1.8</v>
      </c>
      <c r="K7" s="42">
        <v>0</v>
      </c>
      <c r="L7" s="42">
        <v>4.3</v>
      </c>
      <c r="M7" s="42">
        <v>3.2</v>
      </c>
      <c r="N7" s="42">
        <v>0</v>
      </c>
      <c r="O7" s="42">
        <v>0.75</v>
      </c>
      <c r="P7" s="42">
        <v>0.3</v>
      </c>
      <c r="Q7" s="42">
        <v>5.2</v>
      </c>
      <c r="R7" s="42">
        <v>1.2</v>
      </c>
      <c r="S7" s="42">
        <v>0</v>
      </c>
      <c r="T7" s="42">
        <v>12.450000000000001</v>
      </c>
      <c r="U7" s="42">
        <v>1.65</v>
      </c>
      <c r="V7" s="42">
        <v>0</v>
      </c>
      <c r="W7" s="42">
        <v>0.8</v>
      </c>
      <c r="X7" s="42">
        <v>0</v>
      </c>
      <c r="Y7" s="42">
        <v>46.199999999999996</v>
      </c>
      <c r="Z7" s="77" t="s">
        <v>66</v>
      </c>
      <c r="AA7" s="65"/>
      <c r="AB7" s="66"/>
      <c r="AC7" s="66"/>
    </row>
    <row r="8" spans="1:29" s="43" customFormat="1" x14ac:dyDescent="0.3">
      <c r="G8" s="95" cm="1">
        <f t="array" ref="G8">SUM(H8:V8+X8)</f>
        <v>0</v>
      </c>
    </row>
    <row r="9" spans="1:29" s="56" customFormat="1" x14ac:dyDescent="0.3">
      <c r="B9" s="11">
        <v>44189</v>
      </c>
      <c r="C9" s="63">
        <v>1</v>
      </c>
      <c r="E9" s="56" t="s">
        <v>73</v>
      </c>
      <c r="F9" s="42">
        <v>34.08</v>
      </c>
      <c r="G9" s="42">
        <f>SUM(H9:V9)+X9</f>
        <v>13.079999999999998</v>
      </c>
      <c r="H9" s="42">
        <v>1.5999999999999999</v>
      </c>
      <c r="I9" s="42">
        <v>0.05</v>
      </c>
      <c r="J9" s="42">
        <v>0.05</v>
      </c>
      <c r="K9" s="42">
        <v>0</v>
      </c>
      <c r="L9" s="42">
        <v>0</v>
      </c>
      <c r="M9" s="42">
        <v>0.8</v>
      </c>
      <c r="N9" s="42">
        <v>0</v>
      </c>
      <c r="O9" s="42">
        <v>0</v>
      </c>
      <c r="P9" s="42">
        <v>0</v>
      </c>
      <c r="Q9" s="42">
        <v>2.9</v>
      </c>
      <c r="R9" s="42">
        <v>0.45</v>
      </c>
      <c r="S9" s="42">
        <v>0.1</v>
      </c>
      <c r="T9" s="42">
        <v>6.93</v>
      </c>
      <c r="U9" s="42">
        <v>0.19999999999999998</v>
      </c>
      <c r="V9" s="42">
        <v>0</v>
      </c>
      <c r="W9" s="42">
        <v>0</v>
      </c>
      <c r="X9" s="42">
        <v>0</v>
      </c>
      <c r="Y9" s="42">
        <v>21</v>
      </c>
      <c r="Z9" s="8" t="s">
        <v>67</v>
      </c>
      <c r="AA9" s="42"/>
      <c r="AB9" s="66"/>
    </row>
    <row r="10" spans="1:29" s="56" customFormat="1" x14ac:dyDescent="0.3">
      <c r="B10" s="11">
        <v>44189</v>
      </c>
      <c r="C10" s="63">
        <v>2</v>
      </c>
      <c r="E10" s="56" t="s">
        <v>74</v>
      </c>
      <c r="F10" s="42">
        <v>76.919999999999987</v>
      </c>
      <c r="G10" s="42" cm="1">
        <f t="array" ref="G10">SUM(H10:V10+X10)</f>
        <v>51.269999999999989</v>
      </c>
      <c r="H10" s="42">
        <v>7.42</v>
      </c>
      <c r="I10" s="42">
        <v>4.9399999999999995</v>
      </c>
      <c r="J10" s="42">
        <v>1.3399999999999999</v>
      </c>
      <c r="K10" s="42">
        <v>0</v>
      </c>
      <c r="L10" s="42">
        <v>0.49</v>
      </c>
      <c r="M10" s="42">
        <v>5.34</v>
      </c>
      <c r="N10" s="42">
        <v>0</v>
      </c>
      <c r="O10" s="42">
        <v>0.9</v>
      </c>
      <c r="P10" s="42">
        <v>0</v>
      </c>
      <c r="Q10" s="42">
        <v>15.75</v>
      </c>
      <c r="R10" s="42">
        <v>0.08</v>
      </c>
      <c r="S10" s="42">
        <v>0</v>
      </c>
      <c r="T10" s="42">
        <v>10.23</v>
      </c>
      <c r="U10" s="42">
        <v>4.12</v>
      </c>
      <c r="V10" s="42">
        <v>0.66</v>
      </c>
      <c r="W10" s="42">
        <v>0</v>
      </c>
      <c r="X10" s="42">
        <v>0</v>
      </c>
      <c r="Y10" s="42">
        <v>25.65</v>
      </c>
      <c r="Z10" s="8" t="s">
        <v>67</v>
      </c>
      <c r="AA10" s="65"/>
      <c r="AB10" s="66"/>
    </row>
    <row r="11" spans="1:29" s="43" customFormat="1" x14ac:dyDescent="0.3">
      <c r="G11" s="95">
        <f>SUM(H11:V11)+X11</f>
        <v>0</v>
      </c>
    </row>
    <row r="12" spans="1:29" s="56" customFormat="1" x14ac:dyDescent="0.3">
      <c r="B12" s="11">
        <v>44191</v>
      </c>
      <c r="C12" s="63">
        <v>1</v>
      </c>
      <c r="E12" s="56" t="s">
        <v>73</v>
      </c>
      <c r="F12" s="42">
        <v>130.85</v>
      </c>
      <c r="G12" s="42" cm="1">
        <f t="array" ref="G12">SUM(H12:V12+X12)</f>
        <v>47.43</v>
      </c>
      <c r="H12" s="42">
        <v>11.5</v>
      </c>
      <c r="I12" s="42">
        <v>6.9749999999999996</v>
      </c>
      <c r="J12" s="42">
        <v>2.6950000000000003</v>
      </c>
      <c r="K12" s="42">
        <v>0</v>
      </c>
      <c r="L12" s="42">
        <v>0.25</v>
      </c>
      <c r="M12" s="42">
        <v>2.7</v>
      </c>
      <c r="N12" s="42">
        <v>0</v>
      </c>
      <c r="O12" s="42">
        <v>0</v>
      </c>
      <c r="P12" s="42">
        <v>1.2</v>
      </c>
      <c r="Q12" s="42">
        <v>2.88</v>
      </c>
      <c r="R12" s="42">
        <v>0.95000000000000007</v>
      </c>
      <c r="S12" s="42">
        <v>0</v>
      </c>
      <c r="T12" s="42">
        <v>14.08</v>
      </c>
      <c r="U12" s="42">
        <v>4.2</v>
      </c>
      <c r="V12" s="42">
        <v>0</v>
      </c>
      <c r="W12" s="42">
        <v>0.12</v>
      </c>
      <c r="X12" s="42">
        <v>0</v>
      </c>
      <c r="Y12" s="42">
        <v>83.3</v>
      </c>
      <c r="Z12" s="8" t="s">
        <v>65</v>
      </c>
      <c r="AA12" s="42"/>
      <c r="AB12" s="66"/>
    </row>
    <row r="13" spans="1:29" s="56" customFormat="1" x14ac:dyDescent="0.3">
      <c r="B13" s="11">
        <v>44191</v>
      </c>
      <c r="C13" s="63">
        <v>2</v>
      </c>
      <c r="E13" s="56" t="s">
        <v>74</v>
      </c>
      <c r="F13" s="42">
        <v>145.93</v>
      </c>
      <c r="G13" s="42">
        <f>SUM(H13:V13)+X13</f>
        <v>64.5</v>
      </c>
      <c r="H13" s="42">
        <v>11.11</v>
      </c>
      <c r="I13" s="42">
        <v>9.27</v>
      </c>
      <c r="J13" s="42">
        <v>2.93</v>
      </c>
      <c r="K13" s="42">
        <v>0</v>
      </c>
      <c r="L13" s="42">
        <v>1.75</v>
      </c>
      <c r="M13" s="42">
        <v>2</v>
      </c>
      <c r="N13" s="42">
        <v>0</v>
      </c>
      <c r="O13" s="42">
        <v>0.2</v>
      </c>
      <c r="P13" s="42">
        <v>0.8</v>
      </c>
      <c r="Q13" s="42">
        <v>4.16</v>
      </c>
      <c r="R13" s="42">
        <v>0.80999999999999994</v>
      </c>
      <c r="S13" s="42">
        <v>10.64</v>
      </c>
      <c r="T13" s="42">
        <v>14.259999999999998</v>
      </c>
      <c r="U13" s="42">
        <v>6.57</v>
      </c>
      <c r="V13" s="42">
        <v>0</v>
      </c>
      <c r="W13" s="42">
        <v>5.23</v>
      </c>
      <c r="X13" s="42">
        <v>0</v>
      </c>
      <c r="Y13" s="42">
        <v>76.199999999999989</v>
      </c>
      <c r="Z13" s="8" t="s">
        <v>65</v>
      </c>
      <c r="AB13" s="66"/>
    </row>
    <row r="14" spans="1:29" s="43" customFormat="1" x14ac:dyDescent="0.3">
      <c r="G14" s="95" cm="1">
        <f t="array" ref="G14">SUM(H14:V14+X14)</f>
        <v>0</v>
      </c>
    </row>
    <row r="15" spans="1:29" s="56" customFormat="1" x14ac:dyDescent="0.3">
      <c r="B15" s="11">
        <v>44192</v>
      </c>
      <c r="C15" s="63">
        <v>1</v>
      </c>
      <c r="E15" s="56" t="s">
        <v>73</v>
      </c>
      <c r="F15" s="42">
        <v>133.73500000000001</v>
      </c>
      <c r="G15" s="42">
        <f>SUM(H15:V15)+X15</f>
        <v>46.085000000000008</v>
      </c>
      <c r="H15" s="42">
        <v>9.7999999999999989</v>
      </c>
      <c r="I15" s="42">
        <v>4</v>
      </c>
      <c r="J15" s="42">
        <v>2.38</v>
      </c>
      <c r="K15" s="42">
        <v>0</v>
      </c>
      <c r="L15" s="42">
        <v>1.33</v>
      </c>
      <c r="M15" s="42">
        <v>4.5299999999999994</v>
      </c>
      <c r="N15" s="42">
        <v>0</v>
      </c>
      <c r="O15" s="42">
        <v>3.125</v>
      </c>
      <c r="P15" s="42">
        <v>0</v>
      </c>
      <c r="Q15" s="42">
        <v>5.5500000000000007</v>
      </c>
      <c r="R15" s="42">
        <v>2.65</v>
      </c>
      <c r="S15" s="42">
        <v>0.78</v>
      </c>
      <c r="T15" s="42">
        <v>8.3000000000000007</v>
      </c>
      <c r="U15" s="42">
        <v>3.64</v>
      </c>
      <c r="V15" s="42">
        <v>0</v>
      </c>
      <c r="W15" s="42">
        <v>3.15</v>
      </c>
      <c r="X15" s="42">
        <v>0</v>
      </c>
      <c r="Y15" s="42">
        <v>84.5</v>
      </c>
      <c r="Z15" s="8" t="s">
        <v>66</v>
      </c>
    </row>
    <row r="16" spans="1:29" s="56" customFormat="1" x14ac:dyDescent="0.3">
      <c r="B16" s="11">
        <v>44192</v>
      </c>
      <c r="C16" s="63">
        <v>2</v>
      </c>
      <c r="E16" s="56" t="s">
        <v>74</v>
      </c>
      <c r="F16" s="42">
        <v>0</v>
      </c>
      <c r="G16" s="42" cm="1">
        <f t="array" ref="G16">SUM(H16:V16+X16)</f>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v>0</v>
      </c>
      <c r="Z16" s="8" t="s">
        <v>66</v>
      </c>
    </row>
    <row r="17" spans="2:29" s="43" customFormat="1" x14ac:dyDescent="0.3">
      <c r="G17" s="95">
        <f>SUM(H17:V17)+X17</f>
        <v>0</v>
      </c>
    </row>
    <row r="18" spans="2:29" s="56" customFormat="1" x14ac:dyDescent="0.3">
      <c r="B18" s="11">
        <v>44193</v>
      </c>
      <c r="C18" s="63">
        <v>1</v>
      </c>
      <c r="E18" s="56" t="s">
        <v>73</v>
      </c>
      <c r="F18" s="42">
        <v>132.55500000000001</v>
      </c>
      <c r="G18" s="42" cm="1">
        <f t="array" ref="G18">SUM(H18:V18+X18)</f>
        <v>45.854999999999997</v>
      </c>
      <c r="H18" s="42">
        <v>11.16</v>
      </c>
      <c r="I18" s="42">
        <v>1.9125000000000001</v>
      </c>
      <c r="J18" s="42">
        <v>0.79250000000000009</v>
      </c>
      <c r="K18" s="42">
        <v>0</v>
      </c>
      <c r="L18" s="42">
        <v>1.24</v>
      </c>
      <c r="M18" s="42">
        <v>4.9399999999999995</v>
      </c>
      <c r="N18" s="42">
        <v>0</v>
      </c>
      <c r="O18" s="42">
        <v>2.15</v>
      </c>
      <c r="P18" s="42">
        <v>0</v>
      </c>
      <c r="Q18" s="42">
        <v>9.120000000000001</v>
      </c>
      <c r="R18" s="42">
        <v>0.9900000000000001</v>
      </c>
      <c r="S18" s="42">
        <v>3.53</v>
      </c>
      <c r="T18" s="42">
        <v>7.4700000000000006</v>
      </c>
      <c r="U18" s="42">
        <v>2.5499999999999998</v>
      </c>
      <c r="V18" s="42">
        <v>0</v>
      </c>
      <c r="W18" s="42">
        <v>3</v>
      </c>
      <c r="X18" s="42">
        <v>0</v>
      </c>
      <c r="Y18" s="42">
        <v>83.7</v>
      </c>
      <c r="Z18" s="8" t="s">
        <v>66</v>
      </c>
    </row>
    <row r="19" spans="2:29" s="56" customFormat="1" x14ac:dyDescent="0.3">
      <c r="B19" s="11">
        <v>44193</v>
      </c>
      <c r="C19" s="63">
        <v>2</v>
      </c>
      <c r="E19" s="56" t="s">
        <v>74</v>
      </c>
      <c r="F19" s="42">
        <v>126.90000000000002</v>
      </c>
      <c r="G19" s="42">
        <f>SUM(H19:V19)+X19</f>
        <v>52.150000000000006</v>
      </c>
      <c r="H19" s="42">
        <v>6.7</v>
      </c>
      <c r="I19" s="42">
        <v>6.7</v>
      </c>
      <c r="J19" s="42">
        <v>2.76</v>
      </c>
      <c r="K19" s="42">
        <v>0</v>
      </c>
      <c r="L19" s="42">
        <v>0.72000000000000008</v>
      </c>
      <c r="M19" s="42">
        <v>3.9899999999999998</v>
      </c>
      <c r="N19" s="42">
        <v>0</v>
      </c>
      <c r="O19" s="42">
        <v>1.7999999999999998</v>
      </c>
      <c r="P19" s="42">
        <v>1.3199999999999998</v>
      </c>
      <c r="Q19" s="42">
        <v>11.799999999999999</v>
      </c>
      <c r="R19" s="42">
        <v>1.34</v>
      </c>
      <c r="S19" s="42">
        <v>0</v>
      </c>
      <c r="T19" s="42">
        <v>9.6300000000000008</v>
      </c>
      <c r="U19" s="42">
        <v>5.39</v>
      </c>
      <c r="V19" s="42">
        <v>0</v>
      </c>
      <c r="W19" s="42">
        <v>1.5</v>
      </c>
      <c r="X19" s="42">
        <v>0</v>
      </c>
      <c r="Y19" s="42">
        <v>73.250000000000014</v>
      </c>
      <c r="Z19" s="8" t="s">
        <v>66</v>
      </c>
    </row>
    <row r="20" spans="2:29" s="43" customFormat="1" x14ac:dyDescent="0.3">
      <c r="G20" s="95" cm="1">
        <f t="array" ref="G20">SUM(H20:V20+X20)</f>
        <v>0</v>
      </c>
    </row>
    <row r="21" spans="2:29" s="56" customFormat="1" x14ac:dyDescent="0.3">
      <c r="B21" s="11">
        <v>44194</v>
      </c>
      <c r="C21" s="63">
        <v>1</v>
      </c>
      <c r="E21" s="56" t="s">
        <v>73</v>
      </c>
      <c r="F21" s="42">
        <v>114.86999999999999</v>
      </c>
      <c r="G21" s="42">
        <f>SUM(H21:V21)+X21</f>
        <v>39.47</v>
      </c>
      <c r="H21" s="42">
        <v>4.9000000000000004</v>
      </c>
      <c r="I21" s="42">
        <v>2.97</v>
      </c>
      <c r="J21" s="42">
        <v>2.7700000000000005</v>
      </c>
      <c r="K21" s="42">
        <v>0</v>
      </c>
      <c r="L21" s="42">
        <v>4.6499999999999995</v>
      </c>
      <c r="M21" s="42">
        <v>1.22</v>
      </c>
      <c r="N21" s="42">
        <v>0</v>
      </c>
      <c r="O21" s="42">
        <v>1.7000000000000002</v>
      </c>
      <c r="P21" s="42">
        <v>0.8</v>
      </c>
      <c r="Q21" s="42">
        <v>1.9999999999999998</v>
      </c>
      <c r="R21" s="42">
        <v>0.15000000000000002</v>
      </c>
      <c r="S21" s="42">
        <v>3.1999999999999997</v>
      </c>
      <c r="T21" s="42">
        <v>13.299999999999997</v>
      </c>
      <c r="U21" s="42">
        <v>1.8099999999999998</v>
      </c>
      <c r="V21" s="42">
        <v>0</v>
      </c>
      <c r="W21" s="42">
        <v>0</v>
      </c>
      <c r="X21" s="42">
        <v>0</v>
      </c>
      <c r="Y21" s="42">
        <v>87.84999999999998</v>
      </c>
      <c r="Z21" s="8" t="s">
        <v>66</v>
      </c>
    </row>
    <row r="22" spans="2:29" s="56" customFormat="1" x14ac:dyDescent="0.3">
      <c r="B22" s="11">
        <v>44194</v>
      </c>
      <c r="C22" s="63">
        <v>2</v>
      </c>
      <c r="E22" s="56" t="s">
        <v>74</v>
      </c>
      <c r="F22" s="42">
        <v>125.31</v>
      </c>
      <c r="G22" s="42" cm="1">
        <f t="array" ref="G22">SUM(H22:V22+X22)</f>
        <v>37.440000000000005</v>
      </c>
      <c r="H22" s="42">
        <v>3.6499999999999995</v>
      </c>
      <c r="I22" s="42">
        <v>3.0800000000000005</v>
      </c>
      <c r="J22" s="42">
        <v>1.8199999999999998</v>
      </c>
      <c r="K22" s="42">
        <v>1.66</v>
      </c>
      <c r="L22" s="42">
        <v>0.83000000000000007</v>
      </c>
      <c r="M22" s="42">
        <v>5.17</v>
      </c>
      <c r="N22" s="42">
        <v>0</v>
      </c>
      <c r="O22" s="42">
        <v>2.62</v>
      </c>
      <c r="P22" s="42">
        <v>0</v>
      </c>
      <c r="Q22" s="42">
        <v>9.1000000000000014</v>
      </c>
      <c r="R22" s="42">
        <v>0.48</v>
      </c>
      <c r="S22" s="42">
        <v>3.45</v>
      </c>
      <c r="T22" s="42">
        <v>4.04</v>
      </c>
      <c r="U22" s="42">
        <v>1.54</v>
      </c>
      <c r="V22" s="42">
        <v>0</v>
      </c>
      <c r="W22" s="42">
        <v>16.8</v>
      </c>
      <c r="X22" s="42">
        <v>0</v>
      </c>
      <c r="Y22" s="42">
        <v>71.069999999999993</v>
      </c>
      <c r="Z22" s="8" t="s">
        <v>66</v>
      </c>
    </row>
    <row r="23" spans="2:29" s="43" customFormat="1" x14ac:dyDescent="0.3">
      <c r="G23" s="95">
        <f>SUM(H23:V23)+X23</f>
        <v>0</v>
      </c>
    </row>
    <row r="24" spans="2:29" s="56" customFormat="1" x14ac:dyDescent="0.3">
      <c r="B24" s="11">
        <v>44197</v>
      </c>
      <c r="C24" s="63"/>
      <c r="E24" s="56" t="s">
        <v>75</v>
      </c>
      <c r="F24" s="42">
        <v>597.92000000000007</v>
      </c>
      <c r="G24" s="42" cm="1">
        <f t="array" ref="G24">SUM(H24:V24+X24)</f>
        <v>171.82345997286299</v>
      </c>
      <c r="H24" s="42">
        <v>39.595997286295798</v>
      </c>
      <c r="I24" s="42">
        <v>2.8400000000000003</v>
      </c>
      <c r="J24" s="42">
        <v>2.0999999999999996</v>
      </c>
      <c r="K24" s="42">
        <v>0</v>
      </c>
      <c r="L24" s="42">
        <v>14.153324287652644</v>
      </c>
      <c r="M24" s="42">
        <v>50.178358208955224</v>
      </c>
      <c r="N24" s="42">
        <v>0</v>
      </c>
      <c r="O24" s="42">
        <v>2.9000000000000004</v>
      </c>
      <c r="P24" s="42">
        <v>0</v>
      </c>
      <c r="Q24" s="42">
        <v>38.625033921302581</v>
      </c>
      <c r="R24" s="42">
        <v>9.287951153324288</v>
      </c>
      <c r="S24" s="42">
        <v>0.72279511533242891</v>
      </c>
      <c r="T24" s="42">
        <v>9.31</v>
      </c>
      <c r="U24" s="42">
        <v>2.11</v>
      </c>
      <c r="V24" s="42">
        <v>0</v>
      </c>
      <c r="W24" s="42">
        <v>5.5167706919945729</v>
      </c>
      <c r="X24" s="42">
        <v>0</v>
      </c>
      <c r="Y24" s="42">
        <v>420.57976933514249</v>
      </c>
      <c r="Z24" s="8" t="s">
        <v>68</v>
      </c>
    </row>
    <row r="25" spans="2:29" s="56" customFormat="1" x14ac:dyDescent="0.3">
      <c r="B25" s="11">
        <v>44197</v>
      </c>
      <c r="C25" s="63">
        <v>1</v>
      </c>
      <c r="E25" s="56" t="s">
        <v>73</v>
      </c>
      <c r="F25" s="42">
        <v>407.12</v>
      </c>
      <c r="G25" s="42">
        <f>SUM(H25:V25)+X25</f>
        <v>145.19345997286294</v>
      </c>
      <c r="H25" s="42">
        <v>35.045997286295801</v>
      </c>
      <c r="I25" s="42">
        <v>2.64</v>
      </c>
      <c r="J25" s="42">
        <v>1.7999999999999998</v>
      </c>
      <c r="K25" s="42">
        <v>0</v>
      </c>
      <c r="L25" s="42">
        <v>11.903324287652644</v>
      </c>
      <c r="M25" s="42">
        <v>44.378358208955227</v>
      </c>
      <c r="N25" s="42">
        <v>0</v>
      </c>
      <c r="O25" s="42">
        <v>2.02</v>
      </c>
      <c r="P25" s="42">
        <v>0</v>
      </c>
      <c r="Q25" s="42">
        <v>34.175033921302578</v>
      </c>
      <c r="R25" s="42">
        <v>7.8879511533242885</v>
      </c>
      <c r="S25" s="42">
        <v>0.72279511533242891</v>
      </c>
      <c r="T25" s="42">
        <v>3.36</v>
      </c>
      <c r="U25" s="42">
        <v>1.26</v>
      </c>
      <c r="V25" s="42">
        <v>0</v>
      </c>
      <c r="W25" s="42">
        <v>5.5167706919945729</v>
      </c>
      <c r="X25" s="42">
        <v>0</v>
      </c>
      <c r="Y25" s="42">
        <v>256.40976933514241</v>
      </c>
      <c r="Z25" s="8" t="s">
        <v>68</v>
      </c>
    </row>
    <row r="26" spans="2:29" s="56" customFormat="1" x14ac:dyDescent="0.3">
      <c r="B26" s="11">
        <v>44197</v>
      </c>
      <c r="C26" s="56">
        <v>2</v>
      </c>
      <c r="E26" s="56" t="s">
        <v>74</v>
      </c>
      <c r="F26" s="42">
        <v>190.8</v>
      </c>
      <c r="G26" s="42" cm="1">
        <f t="array" ref="G26">SUM(H26:V26+X26)</f>
        <v>26.630000000000003</v>
      </c>
      <c r="H26" s="42">
        <v>4.55</v>
      </c>
      <c r="I26" s="42">
        <v>0.19999999999999998</v>
      </c>
      <c r="J26" s="42">
        <v>0.30000000000000004</v>
      </c>
      <c r="K26" s="42">
        <v>0</v>
      </c>
      <c r="L26" s="42">
        <v>2.25</v>
      </c>
      <c r="M26" s="42">
        <v>5.8000000000000007</v>
      </c>
      <c r="N26" s="42">
        <v>0</v>
      </c>
      <c r="O26" s="42">
        <v>0.88000000000000012</v>
      </c>
      <c r="P26" s="42">
        <v>0</v>
      </c>
      <c r="Q26" s="42">
        <v>4.45</v>
      </c>
      <c r="R26" s="42">
        <v>1.4</v>
      </c>
      <c r="S26" s="42">
        <v>0</v>
      </c>
      <c r="T26" s="42">
        <v>5.95</v>
      </c>
      <c r="U26" s="42">
        <v>0.85</v>
      </c>
      <c r="V26" s="42">
        <v>0</v>
      </c>
      <c r="W26" s="42">
        <v>0</v>
      </c>
      <c r="X26" s="42">
        <v>0</v>
      </c>
      <c r="Y26" s="42">
        <v>164.17000000000002</v>
      </c>
      <c r="Z26" s="8" t="s">
        <v>68</v>
      </c>
    </row>
    <row r="28" spans="2:29" x14ac:dyDescent="0.3">
      <c r="G28" s="3"/>
    </row>
    <row r="31" spans="2:29" x14ac:dyDescent="0.3">
      <c r="G31" s="3"/>
    </row>
    <row r="32" spans="2:29" x14ac:dyDescent="0.3">
      <c r="B32" s="11">
        <v>44187</v>
      </c>
      <c r="C32" s="6"/>
      <c r="E32" s="56" t="s">
        <v>75</v>
      </c>
      <c r="F32" s="3">
        <f t="shared" ref="F32:Y32" si="0">SUM(F3:F4)</f>
        <v>165.85</v>
      </c>
      <c r="G32" s="3">
        <f t="shared" si="0"/>
        <v>74.400000000000006</v>
      </c>
      <c r="H32" s="3">
        <f t="shared" si="0"/>
        <v>20.399999999999999</v>
      </c>
      <c r="I32" s="3">
        <f t="shared" si="0"/>
        <v>5.7</v>
      </c>
      <c r="J32" s="3">
        <f t="shared" si="0"/>
        <v>5.95</v>
      </c>
      <c r="K32" s="3">
        <f t="shared" si="0"/>
        <v>0</v>
      </c>
      <c r="L32" s="3">
        <f t="shared" si="0"/>
        <v>2.75</v>
      </c>
      <c r="M32" s="3">
        <f t="shared" si="0"/>
        <v>0.75</v>
      </c>
      <c r="N32" s="3">
        <f t="shared" si="0"/>
        <v>0</v>
      </c>
      <c r="O32" s="3">
        <f t="shared" si="0"/>
        <v>2.35</v>
      </c>
      <c r="P32" s="3">
        <f t="shared" si="0"/>
        <v>1.75</v>
      </c>
      <c r="Q32" s="3">
        <f t="shared" si="0"/>
        <v>6.6</v>
      </c>
      <c r="R32" s="3">
        <f t="shared" si="0"/>
        <v>2.6500000000000004</v>
      </c>
      <c r="S32" s="3">
        <f t="shared" si="0"/>
        <v>0</v>
      </c>
      <c r="T32" s="3">
        <f t="shared" si="0"/>
        <v>20.8</v>
      </c>
      <c r="U32" s="3">
        <f t="shared" si="0"/>
        <v>4.7</v>
      </c>
      <c r="V32" s="3">
        <f t="shared" si="0"/>
        <v>0</v>
      </c>
      <c r="W32" s="3">
        <f t="shared" si="0"/>
        <v>2.4500000000000002</v>
      </c>
      <c r="X32" s="3">
        <f t="shared" si="0"/>
        <v>0</v>
      </c>
      <c r="Y32" s="3">
        <f t="shared" si="0"/>
        <v>89</v>
      </c>
      <c r="Z32" s="8" t="s">
        <v>64</v>
      </c>
      <c r="AA32" s="1"/>
      <c r="AB32" s="4"/>
      <c r="AC32" s="4"/>
    </row>
    <row r="33" spans="1:29" x14ac:dyDescent="0.3">
      <c r="B33" s="11">
        <v>44188</v>
      </c>
      <c r="C33" s="6"/>
      <c r="E33" s="56" t="s">
        <v>75</v>
      </c>
      <c r="F33" s="3">
        <f t="shared" ref="F33:Y33" si="1">SUM(F6:F7)</f>
        <v>212.7</v>
      </c>
      <c r="G33" s="3">
        <f t="shared" si="1"/>
        <v>87.85</v>
      </c>
      <c r="H33" s="3">
        <f t="shared" si="1"/>
        <v>22.95</v>
      </c>
      <c r="I33" s="3">
        <f t="shared" si="1"/>
        <v>7.8000000000000007</v>
      </c>
      <c r="J33" s="3">
        <f t="shared" si="1"/>
        <v>3.2</v>
      </c>
      <c r="K33" s="3">
        <f t="shared" si="1"/>
        <v>0</v>
      </c>
      <c r="L33" s="3">
        <f t="shared" si="1"/>
        <v>10.199999999999999</v>
      </c>
      <c r="M33" s="3">
        <f t="shared" si="1"/>
        <v>5.0999999999999996</v>
      </c>
      <c r="N33" s="3">
        <f t="shared" si="1"/>
        <v>0</v>
      </c>
      <c r="O33" s="3">
        <f t="shared" si="1"/>
        <v>2.0750000000000002</v>
      </c>
      <c r="P33" s="3">
        <f t="shared" si="1"/>
        <v>1.175</v>
      </c>
      <c r="Q33" s="3">
        <f t="shared" si="1"/>
        <v>11</v>
      </c>
      <c r="R33" s="3">
        <f t="shared" si="1"/>
        <v>1.85</v>
      </c>
      <c r="S33" s="3">
        <f t="shared" si="1"/>
        <v>0</v>
      </c>
      <c r="T33" s="3">
        <f t="shared" si="1"/>
        <v>17.75</v>
      </c>
      <c r="U33" s="3">
        <f t="shared" si="1"/>
        <v>4.1500000000000004</v>
      </c>
      <c r="V33" s="3">
        <f t="shared" si="1"/>
        <v>0.6</v>
      </c>
      <c r="W33" s="3">
        <f t="shared" si="1"/>
        <v>2.4500000000000002</v>
      </c>
      <c r="X33" s="3">
        <f t="shared" si="1"/>
        <v>0</v>
      </c>
      <c r="Y33" s="3">
        <f t="shared" si="1"/>
        <v>122.39999999999998</v>
      </c>
      <c r="Z33" s="77" t="s">
        <v>66</v>
      </c>
      <c r="AA33" s="1"/>
      <c r="AB33" s="4"/>
      <c r="AC33" s="4"/>
    </row>
    <row r="34" spans="1:29" x14ac:dyDescent="0.3">
      <c r="B34" s="11">
        <v>44189</v>
      </c>
      <c r="C34" s="6"/>
      <c r="E34" s="56" t="s">
        <v>75</v>
      </c>
      <c r="F34" s="3">
        <f t="shared" ref="F34:Y34" si="2">SUM(F9:F10)</f>
        <v>110.99999999999999</v>
      </c>
      <c r="G34" s="3">
        <f t="shared" si="2"/>
        <v>64.349999999999994</v>
      </c>
      <c r="H34" s="3">
        <f t="shared" si="2"/>
        <v>9.02</v>
      </c>
      <c r="I34" s="3">
        <f t="shared" si="2"/>
        <v>4.9899999999999993</v>
      </c>
      <c r="J34" s="3">
        <f t="shared" si="2"/>
        <v>1.39</v>
      </c>
      <c r="K34" s="3">
        <f t="shared" si="2"/>
        <v>0</v>
      </c>
      <c r="L34" s="3">
        <f t="shared" si="2"/>
        <v>0.49</v>
      </c>
      <c r="M34" s="3">
        <f t="shared" si="2"/>
        <v>6.14</v>
      </c>
      <c r="N34" s="3">
        <f t="shared" si="2"/>
        <v>0</v>
      </c>
      <c r="O34" s="3">
        <f t="shared" si="2"/>
        <v>0.9</v>
      </c>
      <c r="P34" s="3">
        <f t="shared" si="2"/>
        <v>0</v>
      </c>
      <c r="Q34" s="3">
        <f t="shared" si="2"/>
        <v>18.649999999999999</v>
      </c>
      <c r="R34" s="3">
        <f t="shared" si="2"/>
        <v>0.53</v>
      </c>
      <c r="S34" s="3">
        <f t="shared" si="2"/>
        <v>0.1</v>
      </c>
      <c r="T34" s="3">
        <f t="shared" si="2"/>
        <v>17.16</v>
      </c>
      <c r="U34" s="3">
        <f t="shared" si="2"/>
        <v>4.32</v>
      </c>
      <c r="V34" s="3">
        <f t="shared" si="2"/>
        <v>0.66</v>
      </c>
      <c r="W34" s="3">
        <f t="shared" si="2"/>
        <v>0</v>
      </c>
      <c r="X34" s="3">
        <f t="shared" si="2"/>
        <v>0</v>
      </c>
      <c r="Y34" s="3">
        <f t="shared" si="2"/>
        <v>46.65</v>
      </c>
      <c r="Z34" s="8" t="s">
        <v>67</v>
      </c>
      <c r="AA34" s="1"/>
      <c r="AB34" s="4"/>
    </row>
    <row r="35" spans="1:29" x14ac:dyDescent="0.3">
      <c r="B35" s="11">
        <v>44191</v>
      </c>
      <c r="C35" s="6"/>
      <c r="E35" s="56" t="s">
        <v>75</v>
      </c>
      <c r="F35" s="3">
        <f t="shared" ref="F35:Y35" si="3">SUM(F12:F13)</f>
        <v>276.77999999999997</v>
      </c>
      <c r="G35" s="3">
        <f>SUM(G12:G13)</f>
        <v>111.93</v>
      </c>
      <c r="H35" s="3">
        <f t="shared" si="3"/>
        <v>22.61</v>
      </c>
      <c r="I35" s="3">
        <f t="shared" si="3"/>
        <v>16.244999999999997</v>
      </c>
      <c r="J35" s="3">
        <f t="shared" si="3"/>
        <v>5.625</v>
      </c>
      <c r="K35" s="3">
        <f t="shared" si="3"/>
        <v>0</v>
      </c>
      <c r="L35" s="3">
        <f t="shared" si="3"/>
        <v>2</v>
      </c>
      <c r="M35" s="3">
        <f t="shared" si="3"/>
        <v>4.7</v>
      </c>
      <c r="N35" s="3">
        <f t="shared" si="3"/>
        <v>0</v>
      </c>
      <c r="O35" s="3">
        <f t="shared" si="3"/>
        <v>0.2</v>
      </c>
      <c r="P35" s="3">
        <f t="shared" si="3"/>
        <v>2</v>
      </c>
      <c r="Q35" s="3">
        <f t="shared" si="3"/>
        <v>7.04</v>
      </c>
      <c r="R35" s="3">
        <f t="shared" si="3"/>
        <v>1.76</v>
      </c>
      <c r="S35" s="3">
        <f t="shared" si="3"/>
        <v>10.64</v>
      </c>
      <c r="T35" s="3">
        <f t="shared" si="3"/>
        <v>28.339999999999996</v>
      </c>
      <c r="U35" s="3">
        <f t="shared" si="3"/>
        <v>10.77</v>
      </c>
      <c r="V35" s="3">
        <f t="shared" si="3"/>
        <v>0</v>
      </c>
      <c r="W35" s="3">
        <f t="shared" si="3"/>
        <v>5.3500000000000005</v>
      </c>
      <c r="X35" s="3">
        <f t="shared" si="3"/>
        <v>0</v>
      </c>
      <c r="Y35" s="3">
        <f t="shared" si="3"/>
        <v>159.5</v>
      </c>
      <c r="Z35" s="8" t="s">
        <v>65</v>
      </c>
      <c r="AB35" s="4"/>
    </row>
    <row r="36" spans="1:29" x14ac:dyDescent="0.3">
      <c r="B36" s="11">
        <v>44192</v>
      </c>
      <c r="C36" s="6"/>
      <c r="E36" s="56" t="s">
        <v>75</v>
      </c>
      <c r="F36" s="3">
        <f t="shared" ref="F36:Y36" si="4">SUM(F15:F16)</f>
        <v>133.73500000000001</v>
      </c>
      <c r="G36" s="3">
        <f t="shared" si="4"/>
        <v>46.085000000000008</v>
      </c>
      <c r="H36" s="3">
        <f t="shared" si="4"/>
        <v>9.7999999999999989</v>
      </c>
      <c r="I36" s="3">
        <f t="shared" si="4"/>
        <v>4</v>
      </c>
      <c r="J36" s="3">
        <f t="shared" si="4"/>
        <v>2.38</v>
      </c>
      <c r="K36" s="3">
        <f t="shared" si="4"/>
        <v>0</v>
      </c>
      <c r="L36" s="3">
        <f t="shared" si="4"/>
        <v>1.33</v>
      </c>
      <c r="M36" s="3">
        <f t="shared" si="4"/>
        <v>4.5299999999999994</v>
      </c>
      <c r="N36" s="3">
        <f t="shared" si="4"/>
        <v>0</v>
      </c>
      <c r="O36" s="3">
        <f t="shared" si="4"/>
        <v>3.125</v>
      </c>
      <c r="P36" s="3">
        <f t="shared" si="4"/>
        <v>0</v>
      </c>
      <c r="Q36" s="3">
        <f t="shared" si="4"/>
        <v>5.5500000000000007</v>
      </c>
      <c r="R36" s="3">
        <f t="shared" si="4"/>
        <v>2.65</v>
      </c>
      <c r="S36" s="3">
        <f t="shared" si="4"/>
        <v>0.78</v>
      </c>
      <c r="T36" s="3">
        <f t="shared" si="4"/>
        <v>8.3000000000000007</v>
      </c>
      <c r="U36" s="3">
        <f t="shared" si="4"/>
        <v>3.64</v>
      </c>
      <c r="V36" s="3">
        <f t="shared" si="4"/>
        <v>0</v>
      </c>
      <c r="W36" s="3">
        <f t="shared" si="4"/>
        <v>3.15</v>
      </c>
      <c r="X36" s="3">
        <f t="shared" si="4"/>
        <v>0</v>
      </c>
      <c r="Y36" s="3">
        <f t="shared" si="4"/>
        <v>84.5</v>
      </c>
      <c r="Z36" s="8" t="s">
        <v>66</v>
      </c>
    </row>
    <row r="37" spans="1:29" x14ac:dyDescent="0.3">
      <c r="B37" s="11">
        <v>44193</v>
      </c>
      <c r="C37" s="6"/>
      <c r="E37" s="56" t="s">
        <v>75</v>
      </c>
      <c r="F37" s="3">
        <f t="shared" ref="F37:Y37" si="5">SUM(F18:F19)</f>
        <v>259.45500000000004</v>
      </c>
      <c r="G37" s="3">
        <f t="shared" si="5"/>
        <v>98.004999999999995</v>
      </c>
      <c r="H37" s="3">
        <f t="shared" si="5"/>
        <v>17.86</v>
      </c>
      <c r="I37" s="3">
        <f t="shared" si="5"/>
        <v>8.6125000000000007</v>
      </c>
      <c r="J37" s="3">
        <f t="shared" si="5"/>
        <v>3.5524999999999998</v>
      </c>
      <c r="K37" s="3">
        <f t="shared" si="5"/>
        <v>0</v>
      </c>
      <c r="L37" s="3">
        <f t="shared" si="5"/>
        <v>1.96</v>
      </c>
      <c r="M37" s="3">
        <f t="shared" si="5"/>
        <v>8.93</v>
      </c>
      <c r="N37" s="3">
        <f t="shared" si="5"/>
        <v>0</v>
      </c>
      <c r="O37" s="3">
        <f t="shared" si="5"/>
        <v>3.9499999999999997</v>
      </c>
      <c r="P37" s="3">
        <f t="shared" si="5"/>
        <v>1.3199999999999998</v>
      </c>
      <c r="Q37" s="3">
        <f t="shared" si="5"/>
        <v>20.92</v>
      </c>
      <c r="R37" s="3">
        <f t="shared" si="5"/>
        <v>2.33</v>
      </c>
      <c r="S37" s="3">
        <f t="shared" si="5"/>
        <v>3.53</v>
      </c>
      <c r="T37" s="3">
        <f t="shared" si="5"/>
        <v>17.100000000000001</v>
      </c>
      <c r="U37" s="3">
        <f t="shared" si="5"/>
        <v>7.9399999999999995</v>
      </c>
      <c r="V37" s="3">
        <f t="shared" si="5"/>
        <v>0</v>
      </c>
      <c r="W37" s="3">
        <f t="shared" si="5"/>
        <v>4.5</v>
      </c>
      <c r="X37" s="3">
        <f t="shared" si="5"/>
        <v>0</v>
      </c>
      <c r="Y37" s="3">
        <f t="shared" si="5"/>
        <v>156.95000000000002</v>
      </c>
      <c r="Z37" s="8" t="s">
        <v>66</v>
      </c>
    </row>
    <row r="38" spans="1:29" x14ac:dyDescent="0.3">
      <c r="B38" s="11">
        <v>44194</v>
      </c>
      <c r="C38" s="6"/>
      <c r="E38" s="56" t="s">
        <v>75</v>
      </c>
      <c r="F38" s="3">
        <f t="shared" ref="F38:Y38" si="6">SUM(F21:F22)</f>
        <v>240.18</v>
      </c>
      <c r="G38" s="3">
        <f t="shared" si="6"/>
        <v>76.91</v>
      </c>
      <c r="H38" s="3">
        <f t="shared" si="6"/>
        <v>8.5500000000000007</v>
      </c>
      <c r="I38" s="3">
        <f t="shared" si="6"/>
        <v>6.0500000000000007</v>
      </c>
      <c r="J38" s="3">
        <f t="shared" si="6"/>
        <v>4.59</v>
      </c>
      <c r="K38" s="3">
        <f t="shared" si="6"/>
        <v>1.66</v>
      </c>
      <c r="L38" s="3">
        <f t="shared" si="6"/>
        <v>5.4799999999999995</v>
      </c>
      <c r="M38" s="3">
        <f t="shared" si="6"/>
        <v>6.39</v>
      </c>
      <c r="N38" s="3">
        <f t="shared" si="6"/>
        <v>0</v>
      </c>
      <c r="O38" s="3">
        <f t="shared" si="6"/>
        <v>4.32</v>
      </c>
      <c r="P38" s="3">
        <f t="shared" si="6"/>
        <v>0.8</v>
      </c>
      <c r="Q38" s="3">
        <f t="shared" si="6"/>
        <v>11.100000000000001</v>
      </c>
      <c r="R38" s="3">
        <f t="shared" si="6"/>
        <v>0.63</v>
      </c>
      <c r="S38" s="3">
        <f t="shared" si="6"/>
        <v>6.65</v>
      </c>
      <c r="T38" s="3">
        <f t="shared" si="6"/>
        <v>17.339999999999996</v>
      </c>
      <c r="U38" s="3">
        <f t="shared" si="6"/>
        <v>3.3499999999999996</v>
      </c>
      <c r="V38" s="3">
        <f t="shared" si="6"/>
        <v>0</v>
      </c>
      <c r="W38" s="3">
        <f t="shared" si="6"/>
        <v>16.8</v>
      </c>
      <c r="X38" s="3">
        <f t="shared" si="6"/>
        <v>0</v>
      </c>
      <c r="Y38" s="3">
        <f t="shared" si="6"/>
        <v>158.91999999999996</v>
      </c>
      <c r="Z38" s="8" t="s">
        <v>66</v>
      </c>
    </row>
    <row r="39" spans="1:29" s="43" customFormat="1" x14ac:dyDescent="0.3">
      <c r="A39" s="79"/>
      <c r="B39" s="79"/>
      <c r="C39" s="79"/>
      <c r="D39" s="79"/>
      <c r="E39" s="79"/>
      <c r="F39" s="79"/>
      <c r="G39" s="79"/>
      <c r="H39" s="79"/>
      <c r="I39" s="79"/>
      <c r="J39" s="79"/>
      <c r="K39" s="79"/>
      <c r="L39" s="79"/>
      <c r="M39" s="79"/>
      <c r="N39" s="79"/>
      <c r="O39" s="79"/>
      <c r="P39" s="79"/>
      <c r="Q39" s="79"/>
      <c r="R39" s="79"/>
      <c r="S39" s="79"/>
      <c r="T39" s="79"/>
    </row>
    <row r="40" spans="1:29" s="43" customFormat="1" x14ac:dyDescent="0.3">
      <c r="A40" s="75" t="s">
        <v>124</v>
      </c>
      <c r="B40" s="75"/>
      <c r="C40" s="75"/>
      <c r="D40" s="75"/>
      <c r="E40" s="75"/>
      <c r="F40" s="79"/>
      <c r="G40" s="111"/>
      <c r="H40" s="111" t="s">
        <v>153</v>
      </c>
      <c r="I40" s="111"/>
      <c r="J40" s="111"/>
      <c r="K40" s="111"/>
      <c r="L40" s="111" t="s">
        <v>154</v>
      </c>
      <c r="M40" s="111"/>
      <c r="N40" s="111" t="s">
        <v>155</v>
      </c>
      <c r="O40" s="111"/>
      <c r="P40" s="75" t="s">
        <v>153</v>
      </c>
      <c r="Q40" s="75" t="s">
        <v>154</v>
      </c>
      <c r="R40" s="75" t="s">
        <v>248</v>
      </c>
      <c r="S40" s="79"/>
      <c r="T40" s="79"/>
    </row>
    <row r="41" spans="1:29" s="43" customFormat="1" x14ac:dyDescent="0.3">
      <c r="A41" s="75"/>
      <c r="B41" s="75"/>
      <c r="C41" s="75"/>
      <c r="D41" s="75" t="s">
        <v>125</v>
      </c>
      <c r="E41" s="75" t="s">
        <v>126</v>
      </c>
      <c r="F41" s="79"/>
      <c r="G41" s="111"/>
      <c r="H41" s="81" t="s">
        <v>161</v>
      </c>
      <c r="I41" s="81" t="s">
        <v>162</v>
      </c>
      <c r="J41" s="81" t="s">
        <v>123</v>
      </c>
      <c r="K41" s="81" t="s">
        <v>156</v>
      </c>
      <c r="L41" s="81" t="s">
        <v>156</v>
      </c>
      <c r="M41" s="81" t="s">
        <v>123</v>
      </c>
      <c r="N41" s="81" t="s">
        <v>156</v>
      </c>
      <c r="O41" s="75" t="s">
        <v>123</v>
      </c>
      <c r="P41" s="75" t="s">
        <v>249</v>
      </c>
      <c r="Q41" s="75" t="s">
        <v>249</v>
      </c>
      <c r="R41" s="75" t="s">
        <v>249</v>
      </c>
      <c r="S41" s="79"/>
      <c r="T41" s="79"/>
    </row>
    <row r="42" spans="1:29" s="43" customFormat="1" x14ac:dyDescent="0.3">
      <c r="A42" s="75" t="s">
        <v>212</v>
      </c>
      <c r="B42" s="75" t="s">
        <v>127</v>
      </c>
      <c r="C42" s="75"/>
      <c r="D42" s="75">
        <v>199.95859999999999</v>
      </c>
      <c r="E42" s="75">
        <v>24.242809999999999</v>
      </c>
      <c r="F42" s="79"/>
      <c r="G42" s="75" t="s">
        <v>212</v>
      </c>
      <c r="H42" s="83">
        <f>D42</f>
        <v>199.95859999999999</v>
      </c>
      <c r="I42" s="83">
        <f>D48</f>
        <v>64.140450000000001</v>
      </c>
      <c r="J42" s="83"/>
      <c r="K42" s="83">
        <f>H42*365/1000</f>
        <v>72.984888999999995</v>
      </c>
      <c r="L42" s="75" t="s">
        <v>157</v>
      </c>
      <c r="M42" s="81"/>
      <c r="N42" s="75" t="s">
        <v>158</v>
      </c>
      <c r="O42" s="75"/>
      <c r="P42" s="75"/>
      <c r="Q42" s="75"/>
      <c r="R42" s="75"/>
      <c r="S42" s="79"/>
      <c r="T42" s="79"/>
    </row>
    <row r="43" spans="1:29" s="43" customFormat="1" x14ac:dyDescent="0.3">
      <c r="A43" s="75"/>
      <c r="B43" s="75" t="s">
        <v>128</v>
      </c>
      <c r="C43" s="75" t="s">
        <v>129</v>
      </c>
      <c r="D43" s="75">
        <v>140.6386</v>
      </c>
      <c r="E43" s="75"/>
      <c r="F43" s="79"/>
      <c r="G43" s="75" t="s">
        <v>246</v>
      </c>
      <c r="H43" s="83">
        <f>D55</f>
        <v>84.892899999999997</v>
      </c>
      <c r="I43" s="83">
        <f>D61</f>
        <v>23.18224</v>
      </c>
      <c r="J43" s="83">
        <f>H43/H42*100</f>
        <v>42.4552382343145</v>
      </c>
      <c r="K43" s="83">
        <f>H43*365/1000</f>
        <v>30.985908499999997</v>
      </c>
      <c r="L43" s="75" t="s">
        <v>159</v>
      </c>
      <c r="M43" s="76">
        <f>((653+816+633)/3)/((2484+3101+2407)/3)*100</f>
        <v>26.301301301301301</v>
      </c>
      <c r="N43" s="75" t="s">
        <v>160</v>
      </c>
      <c r="O43" s="76">
        <f>(((703+1379+1156)/3)/((6330+12420+10413)/3))*100</f>
        <v>11.103110105270376</v>
      </c>
      <c r="P43" s="76">
        <f>(K43/3600)*1000</f>
        <v>8.6071968055555548</v>
      </c>
      <c r="Q43" s="76">
        <f>663*1000/8700</f>
        <v>76.206896551724142</v>
      </c>
      <c r="R43" s="76">
        <f>703*1000/25100</f>
        <v>28.007968127490042</v>
      </c>
      <c r="S43" s="79"/>
      <c r="T43" s="79"/>
    </row>
    <row r="44" spans="1:29" s="43" customFormat="1" x14ac:dyDescent="0.3">
      <c r="A44" s="75"/>
      <c r="B44" s="75"/>
      <c r="C44" s="75" t="s">
        <v>130</v>
      </c>
      <c r="D44" s="75">
        <v>259.27859999999998</v>
      </c>
      <c r="E44" s="75"/>
      <c r="F44" s="79"/>
      <c r="G44" s="75" t="s">
        <v>247</v>
      </c>
      <c r="H44" s="83">
        <f>D68</f>
        <v>116.84569999999999</v>
      </c>
      <c r="I44" s="83">
        <f>D74</f>
        <v>44.680169999999997</v>
      </c>
      <c r="J44" s="83">
        <f>(H44/SUM(H43:H44))*100</f>
        <v>57.919357029343907</v>
      </c>
      <c r="K44" s="83">
        <f>H44*365/1000</f>
        <v>42.648680499999998</v>
      </c>
      <c r="L44" s="75"/>
      <c r="M44" s="75"/>
      <c r="N44" s="75"/>
      <c r="O44" s="75"/>
      <c r="P44" s="75"/>
      <c r="Q44" s="76">
        <f>816*1000/8700</f>
        <v>93.793103448275858</v>
      </c>
      <c r="R44" s="76">
        <f>1379*1000/25100</f>
        <v>54.940239043824704</v>
      </c>
      <c r="S44" s="79"/>
      <c r="T44" s="79"/>
    </row>
    <row r="45" spans="1:29" s="43" customFormat="1" x14ac:dyDescent="0.3">
      <c r="A45" s="75"/>
      <c r="B45" s="75" t="s">
        <v>131</v>
      </c>
      <c r="C45" s="75"/>
      <c r="D45" s="75">
        <v>200.63290000000001</v>
      </c>
      <c r="E45" s="75"/>
      <c r="F45" s="79"/>
      <c r="G45" s="79"/>
      <c r="H45" s="80"/>
      <c r="I45" s="79"/>
      <c r="J45" s="79"/>
      <c r="K45" s="79"/>
      <c r="L45" s="79"/>
      <c r="M45" s="79"/>
      <c r="N45" s="79"/>
      <c r="O45" s="79"/>
      <c r="P45" s="79"/>
      <c r="Q45" s="79"/>
      <c r="R45" s="79"/>
      <c r="S45" s="79"/>
      <c r="T45" s="79"/>
    </row>
    <row r="46" spans="1:29" s="43" customFormat="1" x14ac:dyDescent="0.3">
      <c r="A46" s="75"/>
      <c r="B46" s="75" t="s">
        <v>132</v>
      </c>
      <c r="C46" s="75"/>
      <c r="D46" s="75">
        <v>212.7</v>
      </c>
      <c r="E46" s="75"/>
      <c r="F46" s="79"/>
      <c r="G46" s="79"/>
      <c r="H46" s="79"/>
      <c r="I46" s="79"/>
      <c r="J46" s="79"/>
      <c r="K46" s="79"/>
      <c r="L46" s="79"/>
      <c r="M46" s="79"/>
      <c r="N46" s="79"/>
      <c r="O46" s="79"/>
      <c r="P46" s="79"/>
      <c r="Q46" s="79"/>
      <c r="R46" s="79"/>
      <c r="S46" s="79"/>
      <c r="T46" s="79"/>
    </row>
    <row r="47" spans="1:29" s="43" customFormat="1" x14ac:dyDescent="0.3">
      <c r="A47" s="75"/>
      <c r="B47" s="75" t="s">
        <v>133</v>
      </c>
      <c r="C47" s="75"/>
      <c r="D47" s="75">
        <v>4113.9970000000003</v>
      </c>
      <c r="E47" s="75"/>
      <c r="F47" s="79"/>
      <c r="G47" s="75" t="s">
        <v>141</v>
      </c>
      <c r="H47" s="75"/>
      <c r="I47" s="75"/>
      <c r="J47" s="75"/>
      <c r="K47" s="75"/>
      <c r="L47" s="75"/>
      <c r="M47" s="75"/>
      <c r="N47" s="75"/>
      <c r="O47" s="75"/>
      <c r="P47" s="79"/>
      <c r="Q47" s="79"/>
      <c r="R47" s="79"/>
      <c r="S47" s="79"/>
      <c r="T47" s="79"/>
    </row>
    <row r="48" spans="1:29" s="43" customFormat="1" x14ac:dyDescent="0.3">
      <c r="A48" s="75"/>
      <c r="B48" s="75" t="s">
        <v>134</v>
      </c>
      <c r="C48" s="75"/>
      <c r="D48" s="75">
        <v>64.140450000000001</v>
      </c>
      <c r="E48" s="75"/>
      <c r="F48" s="79"/>
      <c r="G48" s="75"/>
      <c r="H48" s="75"/>
      <c r="I48" s="75" t="s">
        <v>141</v>
      </c>
      <c r="J48" s="75"/>
      <c r="K48" s="75"/>
      <c r="L48" s="75"/>
      <c r="M48" s="75"/>
      <c r="N48" s="75"/>
      <c r="O48" s="75"/>
      <c r="P48" s="79"/>
      <c r="Q48" s="79"/>
      <c r="R48" s="79"/>
      <c r="S48" s="79"/>
      <c r="T48" s="79"/>
    </row>
    <row r="49" spans="1:20" s="43" customFormat="1" x14ac:dyDescent="0.3">
      <c r="A49" s="75"/>
      <c r="B49" s="75" t="s">
        <v>135</v>
      </c>
      <c r="C49" s="75"/>
      <c r="D49" s="75">
        <v>111</v>
      </c>
      <c r="E49" s="75"/>
      <c r="F49" s="79"/>
      <c r="G49" s="75"/>
      <c r="H49" s="75"/>
      <c r="I49" s="75">
        <v>5</v>
      </c>
      <c r="J49" s="75">
        <v>10</v>
      </c>
      <c r="K49" s="75">
        <v>25</v>
      </c>
      <c r="L49" s="75">
        <v>50</v>
      </c>
      <c r="M49" s="75">
        <v>75</v>
      </c>
      <c r="N49" s="75">
        <v>90</v>
      </c>
      <c r="O49" s="75">
        <v>95</v>
      </c>
      <c r="P49" s="79"/>
      <c r="Q49" s="79"/>
      <c r="R49" s="79"/>
      <c r="S49" s="79"/>
      <c r="T49" s="79"/>
    </row>
    <row r="50" spans="1:20" s="43" customFormat="1" x14ac:dyDescent="0.3">
      <c r="A50" s="75"/>
      <c r="B50" s="75" t="s">
        <v>136</v>
      </c>
      <c r="C50" s="75"/>
      <c r="D50" s="75">
        <v>276.77999999999997</v>
      </c>
      <c r="E50" s="75"/>
      <c r="F50" s="79"/>
      <c r="G50" s="75" t="s">
        <v>142</v>
      </c>
      <c r="H50" s="75" t="s">
        <v>212</v>
      </c>
      <c r="I50" s="75">
        <v>111</v>
      </c>
      <c r="J50" s="75">
        <v>111</v>
      </c>
      <c r="K50" s="75">
        <v>133.74</v>
      </c>
      <c r="L50" s="75">
        <v>212.7</v>
      </c>
      <c r="M50" s="75">
        <v>259.45999999999998</v>
      </c>
      <c r="N50" s="75" t="s">
        <v>143</v>
      </c>
      <c r="O50" s="75" t="s">
        <v>143</v>
      </c>
      <c r="P50" s="79"/>
      <c r="Q50" s="79"/>
      <c r="R50" s="79"/>
      <c r="S50" s="79"/>
      <c r="T50" s="79"/>
    </row>
    <row r="51" spans="1:20" s="43" customFormat="1" x14ac:dyDescent="0.3">
      <c r="A51" s="75"/>
      <c r="B51" s="75" t="s">
        <v>137</v>
      </c>
      <c r="C51" s="75"/>
      <c r="D51" s="75">
        <v>165.78</v>
      </c>
      <c r="E51" s="75"/>
      <c r="F51" s="79"/>
      <c r="G51" s="75"/>
      <c r="H51" s="75" t="s">
        <v>246</v>
      </c>
      <c r="I51" s="75">
        <v>49.24</v>
      </c>
      <c r="J51" s="75">
        <v>49.24</v>
      </c>
      <c r="K51" s="75">
        <v>64.349999999999994</v>
      </c>
      <c r="L51" s="75">
        <v>90.31</v>
      </c>
      <c r="M51" s="75">
        <v>102.5</v>
      </c>
      <c r="N51" s="75" t="s">
        <v>143</v>
      </c>
      <c r="O51" s="75" t="s">
        <v>143</v>
      </c>
      <c r="P51" s="79"/>
      <c r="Q51" s="79"/>
      <c r="R51" s="79"/>
      <c r="S51" s="79"/>
      <c r="T51" s="79"/>
    </row>
    <row r="52" spans="1:20" s="43" customFormat="1" x14ac:dyDescent="0.3">
      <c r="A52" s="75"/>
      <c r="B52" s="75" t="s">
        <v>138</v>
      </c>
      <c r="C52" s="75"/>
      <c r="D52" s="75">
        <v>125.72</v>
      </c>
      <c r="E52" s="75"/>
      <c r="F52" s="79"/>
      <c r="G52" s="75"/>
      <c r="H52" s="75" t="s">
        <v>247</v>
      </c>
      <c r="I52" s="75">
        <v>46.65</v>
      </c>
      <c r="J52" s="75">
        <v>46.65</v>
      </c>
      <c r="K52" s="75">
        <v>84.5</v>
      </c>
      <c r="L52" s="75">
        <v>122.4</v>
      </c>
      <c r="M52" s="75">
        <v>158.91999999999999</v>
      </c>
      <c r="N52" s="75" t="s">
        <v>143</v>
      </c>
      <c r="O52" s="75" t="s">
        <v>143</v>
      </c>
      <c r="P52" s="79"/>
      <c r="Q52" s="79"/>
      <c r="R52" s="79"/>
      <c r="S52" s="79"/>
      <c r="T52" s="79"/>
    </row>
    <row r="53" spans="1:20" s="43" customFormat="1" x14ac:dyDescent="0.3">
      <c r="A53" s="75"/>
      <c r="B53" s="75" t="s">
        <v>139</v>
      </c>
      <c r="C53" s="75"/>
      <c r="D53" s="75">
        <v>-0.26800000000000002</v>
      </c>
      <c r="E53" s="75">
        <v>0.79400000000000004</v>
      </c>
      <c r="F53" s="79"/>
      <c r="G53" s="75" t="s">
        <v>144</v>
      </c>
      <c r="H53" s="75" t="s">
        <v>212</v>
      </c>
      <c r="I53" s="75"/>
      <c r="J53" s="75"/>
      <c r="K53" s="75">
        <v>149.79499999999999</v>
      </c>
      <c r="L53" s="75">
        <v>212.7</v>
      </c>
      <c r="M53" s="75">
        <v>249.82</v>
      </c>
      <c r="N53" s="75"/>
      <c r="O53" s="75"/>
      <c r="P53" s="79"/>
      <c r="Q53" s="79"/>
      <c r="R53" s="79"/>
      <c r="S53" s="79"/>
      <c r="T53" s="79"/>
    </row>
    <row r="54" spans="1:20" s="43" customFormat="1" x14ac:dyDescent="0.3">
      <c r="A54" s="75"/>
      <c r="B54" s="75" t="s">
        <v>140</v>
      </c>
      <c r="C54" s="75"/>
      <c r="D54" s="75">
        <v>-1.7270000000000001</v>
      </c>
      <c r="E54" s="75">
        <v>1.587</v>
      </c>
      <c r="F54" s="79"/>
      <c r="G54" s="75"/>
      <c r="H54" s="75" t="s">
        <v>246</v>
      </c>
      <c r="I54" s="75"/>
      <c r="J54" s="75"/>
      <c r="K54" s="75">
        <v>70.599999999999994</v>
      </c>
      <c r="L54" s="75">
        <v>90.31</v>
      </c>
      <c r="M54" s="75">
        <v>98.105000000000004</v>
      </c>
      <c r="N54" s="75"/>
      <c r="O54" s="75"/>
      <c r="P54" s="79"/>
      <c r="Q54" s="79"/>
      <c r="R54" s="79"/>
      <c r="S54" s="79"/>
      <c r="T54" s="79"/>
    </row>
    <row r="55" spans="1:20" s="43" customFormat="1" x14ac:dyDescent="0.3">
      <c r="A55" s="75" t="s">
        <v>246</v>
      </c>
      <c r="B55" s="75" t="s">
        <v>127</v>
      </c>
      <c r="C55" s="75"/>
      <c r="D55" s="75">
        <v>84.892899999999997</v>
      </c>
      <c r="E55" s="75">
        <v>8.76206</v>
      </c>
      <c r="F55" s="79"/>
      <c r="G55" s="75"/>
      <c r="H55" s="75" t="s">
        <v>247</v>
      </c>
      <c r="I55" s="75"/>
      <c r="J55" s="75"/>
      <c r="K55" s="75">
        <v>86.75</v>
      </c>
      <c r="L55" s="75">
        <v>122.4</v>
      </c>
      <c r="M55" s="75">
        <v>157.935</v>
      </c>
      <c r="N55" s="75"/>
      <c r="O55" s="75"/>
      <c r="P55" s="79"/>
      <c r="Q55" s="79"/>
      <c r="R55" s="79"/>
      <c r="S55" s="79"/>
      <c r="T55" s="79"/>
    </row>
    <row r="56" spans="1:20" s="43" customFormat="1" x14ac:dyDescent="0.3">
      <c r="A56" s="75"/>
      <c r="B56" s="75" t="s">
        <v>128</v>
      </c>
      <c r="C56" s="75" t="s">
        <v>129</v>
      </c>
      <c r="D56" s="75">
        <v>63.4529</v>
      </c>
      <c r="E56" s="75"/>
      <c r="F56" s="79"/>
      <c r="G56" s="75"/>
      <c r="H56" s="75"/>
      <c r="I56" s="75"/>
      <c r="J56" s="75"/>
      <c r="K56" s="75"/>
      <c r="L56" s="75"/>
      <c r="M56" s="75"/>
      <c r="N56" s="75"/>
      <c r="O56" s="75"/>
      <c r="P56" s="79"/>
      <c r="Q56" s="79"/>
      <c r="R56" s="79"/>
      <c r="S56" s="79"/>
      <c r="T56" s="79"/>
    </row>
    <row r="57" spans="1:20" s="43" customFormat="1" x14ac:dyDescent="0.3">
      <c r="A57" s="75"/>
      <c r="B57" s="75"/>
      <c r="C57" s="75" t="s">
        <v>130</v>
      </c>
      <c r="D57" s="75">
        <v>106.3329</v>
      </c>
      <c r="E57" s="75"/>
      <c r="F57" s="79"/>
      <c r="G57" s="75"/>
      <c r="H57" s="75"/>
      <c r="I57" s="75"/>
      <c r="J57" s="75"/>
      <c r="K57" s="75"/>
      <c r="L57" s="75"/>
      <c r="M57" s="75"/>
      <c r="N57" s="75"/>
      <c r="O57" s="75"/>
      <c r="P57" s="79"/>
      <c r="Q57" s="79"/>
      <c r="R57" s="79"/>
      <c r="S57" s="79"/>
      <c r="T57" s="79"/>
    </row>
    <row r="58" spans="1:20" s="43" customFormat="1" x14ac:dyDescent="0.3">
      <c r="A58" s="75"/>
      <c r="B58" s="75" t="s">
        <v>131</v>
      </c>
      <c r="C58" s="75"/>
      <c r="D58" s="75">
        <v>85.073700000000002</v>
      </c>
      <c r="E58" s="75"/>
      <c r="F58" s="79"/>
      <c r="G58" s="75"/>
      <c r="H58" s="75"/>
      <c r="I58" s="75"/>
      <c r="J58" s="75"/>
      <c r="K58" s="75"/>
      <c r="L58" s="75"/>
      <c r="M58" s="75"/>
      <c r="N58" s="75"/>
      <c r="O58" s="75"/>
      <c r="P58" s="79"/>
      <c r="Q58" s="79"/>
      <c r="R58" s="79"/>
      <c r="S58" s="79"/>
      <c r="T58" s="79"/>
    </row>
    <row r="59" spans="1:20" s="43" customFormat="1" x14ac:dyDescent="0.3">
      <c r="A59" s="75"/>
      <c r="B59" s="75" t="s">
        <v>132</v>
      </c>
      <c r="C59" s="75"/>
      <c r="D59" s="75">
        <v>90.31</v>
      </c>
      <c r="E59" s="75"/>
      <c r="F59" s="79"/>
      <c r="G59" s="75"/>
      <c r="H59" s="75"/>
      <c r="I59" s="75"/>
      <c r="J59" s="75"/>
      <c r="K59" s="75"/>
      <c r="L59" s="75"/>
      <c r="M59" s="75"/>
      <c r="N59" s="75"/>
      <c r="O59" s="75"/>
      <c r="P59" s="79"/>
      <c r="Q59" s="79"/>
      <c r="R59" s="79"/>
      <c r="S59" s="79"/>
      <c r="T59" s="79"/>
    </row>
    <row r="60" spans="1:20" s="43" customFormat="1" x14ac:dyDescent="0.3">
      <c r="A60" s="75"/>
      <c r="B60" s="75" t="s">
        <v>133</v>
      </c>
      <c r="C60" s="75"/>
      <c r="D60" s="75">
        <v>537.41600000000005</v>
      </c>
      <c r="E60" s="75"/>
      <c r="F60" s="79"/>
      <c r="G60" s="79"/>
      <c r="H60" s="79"/>
      <c r="I60" s="79"/>
      <c r="J60" s="79"/>
      <c r="K60" s="79"/>
      <c r="L60" s="79"/>
      <c r="M60" s="79"/>
      <c r="N60" s="79"/>
      <c r="O60" s="79"/>
      <c r="P60" s="79"/>
      <c r="Q60" s="79"/>
      <c r="R60" s="79"/>
      <c r="S60" s="79"/>
      <c r="T60" s="79"/>
    </row>
    <row r="61" spans="1:20" s="43" customFormat="1" x14ac:dyDescent="0.3">
      <c r="A61" s="75"/>
      <c r="B61" s="75" t="s">
        <v>134</v>
      </c>
      <c r="C61" s="75"/>
      <c r="D61" s="75">
        <v>23.18224</v>
      </c>
      <c r="E61" s="75"/>
      <c r="F61" s="79"/>
      <c r="G61" s="79"/>
      <c r="H61" s="79"/>
      <c r="I61" s="79"/>
      <c r="J61" s="79"/>
      <c r="K61" s="79"/>
      <c r="L61" s="79"/>
      <c r="M61" s="79"/>
      <c r="N61" s="79"/>
      <c r="O61" s="79"/>
      <c r="P61" s="79"/>
      <c r="Q61" s="79"/>
      <c r="R61" s="79"/>
      <c r="S61" s="79"/>
      <c r="T61" s="79"/>
    </row>
    <row r="62" spans="1:20" s="43" customFormat="1" x14ac:dyDescent="0.3">
      <c r="A62" s="75"/>
      <c r="B62" s="75" t="s">
        <v>135</v>
      </c>
      <c r="C62" s="75"/>
      <c r="D62" s="75">
        <v>49.24</v>
      </c>
      <c r="E62" s="75"/>
      <c r="F62" s="79"/>
      <c r="G62" s="75" t="s">
        <v>145</v>
      </c>
      <c r="H62" s="75"/>
      <c r="I62" s="75"/>
      <c r="J62" s="75"/>
      <c r="K62" s="75"/>
      <c r="L62" s="75"/>
      <c r="M62" s="75"/>
      <c r="N62" s="79"/>
      <c r="O62" s="79"/>
      <c r="P62" s="79"/>
      <c r="Q62" s="79"/>
      <c r="R62" s="79"/>
      <c r="S62" s="79"/>
      <c r="T62" s="79"/>
    </row>
    <row r="63" spans="1:20" s="43" customFormat="1" x14ac:dyDescent="0.3">
      <c r="A63" s="75"/>
      <c r="B63" s="75" t="s">
        <v>136</v>
      </c>
      <c r="C63" s="75"/>
      <c r="D63" s="75">
        <v>117.29</v>
      </c>
      <c r="E63" s="75"/>
      <c r="F63" s="79"/>
      <c r="G63" s="75"/>
      <c r="H63" s="75" t="s">
        <v>146</v>
      </c>
      <c r="I63" s="75"/>
      <c r="J63" s="75"/>
      <c r="K63" s="75" t="s">
        <v>147</v>
      </c>
      <c r="L63" s="75"/>
      <c r="M63" s="75"/>
      <c r="N63" s="79"/>
      <c r="O63" s="79"/>
      <c r="P63" s="79"/>
      <c r="Q63" s="79"/>
      <c r="R63" s="79"/>
      <c r="S63" s="79"/>
      <c r="T63" s="79"/>
    </row>
    <row r="64" spans="1:20" s="43" customFormat="1" x14ac:dyDescent="0.3">
      <c r="A64" s="75"/>
      <c r="B64" s="75" t="s">
        <v>137</v>
      </c>
      <c r="C64" s="75"/>
      <c r="D64" s="75">
        <v>68.05</v>
      </c>
      <c r="E64" s="75"/>
      <c r="F64" s="79"/>
      <c r="G64" s="75"/>
      <c r="H64" s="75" t="s">
        <v>125</v>
      </c>
      <c r="I64" s="75" t="s">
        <v>148</v>
      </c>
      <c r="J64" s="75" t="s">
        <v>149</v>
      </c>
      <c r="K64" s="75" t="s">
        <v>125</v>
      </c>
      <c r="L64" s="75" t="s">
        <v>148</v>
      </c>
      <c r="M64" s="75" t="s">
        <v>149</v>
      </c>
      <c r="N64" s="79"/>
      <c r="O64" s="79"/>
      <c r="P64" s="79"/>
      <c r="Q64" s="79"/>
      <c r="R64" s="79"/>
      <c r="S64" s="79"/>
      <c r="T64" s="79"/>
    </row>
    <row r="65" spans="1:20" s="43" customFormat="1" x14ac:dyDescent="0.3">
      <c r="A65" s="75"/>
      <c r="B65" s="75" t="s">
        <v>138</v>
      </c>
      <c r="C65" s="75"/>
      <c r="D65" s="75">
        <v>38.15</v>
      </c>
      <c r="E65" s="75"/>
      <c r="F65" s="79"/>
      <c r="G65" s="75" t="s">
        <v>212</v>
      </c>
      <c r="H65" s="75">
        <v>0.16300000000000001</v>
      </c>
      <c r="I65" s="75">
        <v>7</v>
      </c>
      <c r="J65" s="75" t="s">
        <v>150</v>
      </c>
      <c r="K65" s="75">
        <v>0.93500000000000005</v>
      </c>
      <c r="L65" s="75">
        <v>7</v>
      </c>
      <c r="M65" s="75">
        <v>0.59</v>
      </c>
      <c r="N65" s="79"/>
      <c r="O65" s="79"/>
      <c r="P65" s="79"/>
      <c r="Q65" s="79"/>
      <c r="R65" s="79"/>
      <c r="S65" s="79"/>
      <c r="T65" s="79"/>
    </row>
    <row r="66" spans="1:20" s="43" customFormat="1" x14ac:dyDescent="0.3">
      <c r="A66" s="75"/>
      <c r="B66" s="75" t="s">
        <v>139</v>
      </c>
      <c r="C66" s="75"/>
      <c r="D66" s="75">
        <v>-0.26600000000000001</v>
      </c>
      <c r="E66" s="75">
        <v>0.79400000000000004</v>
      </c>
      <c r="F66" s="79"/>
      <c r="G66" s="75" t="s">
        <v>246</v>
      </c>
      <c r="H66" s="75">
        <v>0.16400000000000001</v>
      </c>
      <c r="I66" s="75">
        <v>7</v>
      </c>
      <c r="J66" s="75" t="s">
        <v>150</v>
      </c>
      <c r="K66" s="75">
        <v>0.98399999999999999</v>
      </c>
      <c r="L66" s="75">
        <v>7</v>
      </c>
      <c r="M66" s="75">
        <v>0.97799999999999998</v>
      </c>
      <c r="N66" s="79"/>
      <c r="O66" s="79"/>
      <c r="P66" s="79"/>
      <c r="Q66" s="79"/>
      <c r="R66" s="79"/>
      <c r="S66" s="79"/>
      <c r="T66" s="79"/>
    </row>
    <row r="67" spans="1:20" s="43" customFormat="1" x14ac:dyDescent="0.3">
      <c r="A67" s="75"/>
      <c r="B67" s="75" t="s">
        <v>140</v>
      </c>
      <c r="C67" s="75"/>
      <c r="D67" s="75">
        <v>-0.54800000000000004</v>
      </c>
      <c r="E67" s="75">
        <v>1.587</v>
      </c>
      <c r="F67" s="79"/>
      <c r="G67" s="75" t="s">
        <v>247</v>
      </c>
      <c r="H67" s="75">
        <v>0.24399999999999999</v>
      </c>
      <c r="I67" s="75">
        <v>7</v>
      </c>
      <c r="J67" s="75" t="s">
        <v>150</v>
      </c>
      <c r="K67" s="75">
        <v>0.876</v>
      </c>
      <c r="L67" s="75">
        <v>7</v>
      </c>
      <c r="M67" s="75">
        <v>0.21099999999999999</v>
      </c>
      <c r="N67" s="79"/>
      <c r="O67" s="79"/>
      <c r="P67" s="79"/>
      <c r="Q67" s="79"/>
      <c r="R67" s="79"/>
      <c r="S67" s="79"/>
      <c r="T67" s="79"/>
    </row>
    <row r="68" spans="1:20" s="43" customFormat="1" x14ac:dyDescent="0.3">
      <c r="A68" s="75" t="s">
        <v>247</v>
      </c>
      <c r="B68" s="75" t="s">
        <v>127</v>
      </c>
      <c r="C68" s="75"/>
      <c r="D68" s="75">
        <v>116.84569999999999</v>
      </c>
      <c r="E68" s="75">
        <v>16.887519999999999</v>
      </c>
      <c r="F68" s="79"/>
      <c r="G68" s="75" t="s">
        <v>151</v>
      </c>
      <c r="H68" s="75"/>
      <c r="I68" s="75"/>
      <c r="J68" s="75"/>
      <c r="K68" s="75"/>
      <c r="L68" s="75"/>
      <c r="M68" s="75"/>
      <c r="N68" s="79"/>
      <c r="O68" s="79"/>
      <c r="P68" s="79"/>
      <c r="Q68" s="79"/>
      <c r="R68" s="79"/>
      <c r="S68" s="79"/>
      <c r="T68" s="79"/>
    </row>
    <row r="69" spans="1:20" s="43" customFormat="1" x14ac:dyDescent="0.3">
      <c r="A69" s="75"/>
      <c r="B69" s="75" t="s">
        <v>128</v>
      </c>
      <c r="C69" s="75" t="s">
        <v>129</v>
      </c>
      <c r="D69" s="75">
        <v>75.523499999999999</v>
      </c>
      <c r="E69" s="75"/>
      <c r="F69" s="79"/>
      <c r="G69" s="75" t="s">
        <v>152</v>
      </c>
      <c r="H69" s="75"/>
      <c r="I69" s="75"/>
      <c r="J69" s="75"/>
      <c r="K69" s="75"/>
      <c r="L69" s="75"/>
      <c r="M69" s="75"/>
      <c r="N69" s="79"/>
      <c r="O69" s="79"/>
      <c r="P69" s="79"/>
      <c r="Q69" s="79"/>
      <c r="R69" s="79"/>
      <c r="S69" s="79"/>
      <c r="T69" s="79"/>
    </row>
    <row r="70" spans="1:20" s="43" customFormat="1" x14ac:dyDescent="0.3">
      <c r="A70" s="75"/>
      <c r="B70" s="75"/>
      <c r="C70" s="75" t="s">
        <v>130</v>
      </c>
      <c r="D70" s="75">
        <v>158.16800000000001</v>
      </c>
      <c r="E70" s="75"/>
      <c r="F70" s="79"/>
      <c r="G70" s="75"/>
      <c r="H70" s="75"/>
      <c r="I70" s="75"/>
      <c r="J70" s="75"/>
      <c r="K70" s="75"/>
      <c r="L70" s="75"/>
      <c r="M70" s="75"/>
      <c r="N70" s="79"/>
      <c r="O70" s="79"/>
      <c r="P70" s="79"/>
      <c r="Q70" s="79"/>
      <c r="R70" s="79"/>
      <c r="S70" s="79"/>
      <c r="T70" s="79"/>
    </row>
    <row r="71" spans="1:20" s="43" customFormat="1" x14ac:dyDescent="0.3">
      <c r="A71" s="75"/>
      <c r="B71" s="75" t="s">
        <v>131</v>
      </c>
      <c r="C71" s="75"/>
      <c r="D71" s="75">
        <v>118.3758</v>
      </c>
      <c r="E71" s="75"/>
      <c r="F71" s="79"/>
      <c r="G71" s="75"/>
      <c r="H71" s="75"/>
      <c r="I71" s="75"/>
      <c r="J71" s="75"/>
      <c r="K71" s="75"/>
      <c r="L71" s="75"/>
      <c r="M71" s="75"/>
      <c r="N71" s="79"/>
      <c r="O71" s="79"/>
      <c r="P71" s="79"/>
      <c r="Q71" s="79"/>
      <c r="R71" s="79"/>
      <c r="S71" s="79"/>
      <c r="T71" s="79"/>
    </row>
    <row r="72" spans="1:20" s="43" customFormat="1" x14ac:dyDescent="0.3">
      <c r="A72" s="75"/>
      <c r="B72" s="75" t="s">
        <v>132</v>
      </c>
      <c r="C72" s="75"/>
      <c r="D72" s="75">
        <v>122.4</v>
      </c>
      <c r="E72" s="75"/>
      <c r="F72" s="79"/>
      <c r="G72" s="75"/>
      <c r="H72" s="75"/>
      <c r="I72" s="75"/>
      <c r="J72" s="75"/>
      <c r="K72" s="75"/>
      <c r="L72" s="75"/>
      <c r="M72" s="75"/>
      <c r="N72" s="79"/>
      <c r="O72" s="79"/>
      <c r="P72" s="79"/>
      <c r="Q72" s="79"/>
      <c r="R72" s="79"/>
      <c r="S72" s="79"/>
      <c r="T72" s="79"/>
    </row>
    <row r="73" spans="1:20" s="43" customFormat="1" x14ac:dyDescent="0.3">
      <c r="A73" s="75"/>
      <c r="B73" s="75" t="s">
        <v>133</v>
      </c>
      <c r="C73" s="75"/>
      <c r="D73" s="75">
        <v>1996.317</v>
      </c>
      <c r="E73" s="75"/>
      <c r="F73" s="79"/>
      <c r="G73" s="75"/>
      <c r="H73" s="75"/>
      <c r="I73" s="75"/>
      <c r="J73" s="75"/>
      <c r="K73" s="75"/>
      <c r="L73" s="75"/>
      <c r="M73" s="75"/>
      <c r="N73" s="79"/>
      <c r="O73" s="79"/>
      <c r="P73" s="79"/>
      <c r="Q73" s="79"/>
      <c r="R73" s="79"/>
      <c r="S73" s="79"/>
      <c r="T73" s="79"/>
    </row>
    <row r="74" spans="1:20" s="43" customFormat="1" x14ac:dyDescent="0.3">
      <c r="A74" s="75"/>
      <c r="B74" s="75" t="s">
        <v>134</v>
      </c>
      <c r="C74" s="75"/>
      <c r="D74" s="75">
        <v>44.680169999999997</v>
      </c>
      <c r="E74" s="75"/>
      <c r="F74" s="79"/>
      <c r="G74" s="79"/>
      <c r="H74" s="79"/>
      <c r="I74" s="79"/>
      <c r="J74" s="79"/>
      <c r="K74" s="79"/>
      <c r="L74" s="79"/>
      <c r="M74" s="79"/>
      <c r="N74" s="79"/>
      <c r="O74" s="79"/>
      <c r="P74" s="79"/>
      <c r="Q74" s="79"/>
      <c r="R74" s="79"/>
      <c r="S74" s="79"/>
      <c r="T74" s="79"/>
    </row>
    <row r="75" spans="1:20" s="43" customFormat="1" x14ac:dyDescent="0.3">
      <c r="A75" s="75"/>
      <c r="B75" s="75" t="s">
        <v>135</v>
      </c>
      <c r="C75" s="75"/>
      <c r="D75" s="75">
        <v>46.65</v>
      </c>
      <c r="E75" s="75"/>
      <c r="F75" s="79"/>
      <c r="G75" s="79"/>
      <c r="H75" s="79"/>
      <c r="I75" s="79"/>
      <c r="J75" s="79"/>
      <c r="K75" s="79"/>
      <c r="L75" s="79"/>
      <c r="M75" s="79"/>
      <c r="N75" s="79"/>
      <c r="O75" s="79"/>
      <c r="P75" s="79"/>
      <c r="Q75" s="79"/>
      <c r="R75" s="79"/>
      <c r="S75" s="79"/>
      <c r="T75" s="79"/>
    </row>
    <row r="76" spans="1:20" s="43" customFormat="1" x14ac:dyDescent="0.3">
      <c r="A76" s="75"/>
      <c r="B76" s="75" t="s">
        <v>136</v>
      </c>
      <c r="C76" s="75"/>
      <c r="D76" s="75">
        <v>159.5</v>
      </c>
      <c r="E76" s="75"/>
      <c r="F76" s="79"/>
      <c r="G76" s="79"/>
      <c r="H76" s="79"/>
      <c r="I76" s="79"/>
      <c r="J76" s="79"/>
      <c r="K76" s="79"/>
      <c r="L76" s="79"/>
      <c r="M76" s="79"/>
      <c r="N76" s="79"/>
      <c r="O76" s="79"/>
      <c r="P76" s="79"/>
      <c r="Q76" s="79"/>
      <c r="R76" s="79"/>
      <c r="S76" s="79"/>
      <c r="T76" s="79"/>
    </row>
    <row r="77" spans="1:20" s="43" customFormat="1" x14ac:dyDescent="0.3">
      <c r="A77" s="75"/>
      <c r="B77" s="75" t="s">
        <v>137</v>
      </c>
      <c r="C77" s="75"/>
      <c r="D77" s="75">
        <v>112.85</v>
      </c>
      <c r="E77" s="75"/>
      <c r="F77" s="79"/>
      <c r="G77" s="79"/>
      <c r="H77" s="79"/>
      <c r="I77" s="79"/>
      <c r="J77" s="79"/>
      <c r="K77" s="79"/>
      <c r="L77" s="79"/>
      <c r="M77" s="79"/>
      <c r="N77" s="79"/>
      <c r="O77" s="79"/>
      <c r="P77" s="79"/>
      <c r="Q77" s="79"/>
      <c r="R77" s="79"/>
      <c r="S77" s="79"/>
      <c r="T77" s="79"/>
    </row>
    <row r="78" spans="1:20" s="43" customFormat="1" x14ac:dyDescent="0.3">
      <c r="A78" s="75"/>
      <c r="B78" s="75" t="s">
        <v>138</v>
      </c>
      <c r="C78" s="75"/>
      <c r="D78" s="75">
        <v>74.42</v>
      </c>
      <c r="E78" s="75"/>
      <c r="F78" s="79"/>
      <c r="G78" s="79"/>
      <c r="H78" s="79"/>
      <c r="I78" s="79"/>
      <c r="J78" s="79"/>
      <c r="K78" s="79"/>
      <c r="L78" s="79"/>
      <c r="M78" s="79"/>
      <c r="N78" s="79"/>
      <c r="O78" s="79"/>
      <c r="P78" s="79"/>
      <c r="Q78" s="79"/>
      <c r="R78" s="79"/>
      <c r="S78" s="79"/>
      <c r="T78" s="79"/>
    </row>
    <row r="79" spans="1:20" s="43" customFormat="1" x14ac:dyDescent="0.3">
      <c r="A79" s="75"/>
      <c r="B79" s="75" t="s">
        <v>139</v>
      </c>
      <c r="C79" s="75"/>
      <c r="D79" s="75">
        <v>-0.48299999999999998</v>
      </c>
      <c r="E79" s="75">
        <v>0.79400000000000004</v>
      </c>
      <c r="F79" s="79"/>
      <c r="G79" s="79"/>
      <c r="H79" s="79"/>
      <c r="I79" s="79"/>
      <c r="J79" s="79"/>
      <c r="K79" s="79"/>
      <c r="L79" s="79"/>
      <c r="M79" s="79"/>
      <c r="N79" s="79"/>
      <c r="O79" s="79"/>
      <c r="P79" s="79"/>
      <c r="Q79" s="79"/>
      <c r="R79" s="79"/>
      <c r="S79" s="79"/>
      <c r="T79" s="79"/>
    </row>
    <row r="80" spans="1:20" s="43" customFormat="1" x14ac:dyDescent="0.3">
      <c r="A80" s="75"/>
      <c r="B80" s="75" t="s">
        <v>140</v>
      </c>
      <c r="C80" s="75"/>
      <c r="D80" s="75">
        <v>-1.3009999999999999</v>
      </c>
      <c r="E80" s="75">
        <v>1.587</v>
      </c>
      <c r="F80" s="79"/>
      <c r="G80" s="79"/>
      <c r="H80" s="79"/>
      <c r="I80" s="79"/>
      <c r="J80" s="79"/>
      <c r="K80" s="79"/>
      <c r="L80" s="79"/>
      <c r="M80" s="79"/>
      <c r="N80" s="79"/>
      <c r="O80" s="79"/>
      <c r="P80" s="79"/>
      <c r="Q80" s="79"/>
      <c r="R80" s="79"/>
      <c r="S80" s="79"/>
      <c r="T80" s="79"/>
    </row>
    <row r="81" spans="1:20" s="43" customFormat="1" x14ac:dyDescent="0.3">
      <c r="A81" s="79"/>
      <c r="B81" s="79"/>
      <c r="C81" s="79"/>
      <c r="D81" s="79"/>
      <c r="E81" s="79"/>
      <c r="F81" s="79"/>
      <c r="G81" s="79"/>
      <c r="H81" s="79"/>
      <c r="I81" s="79"/>
      <c r="J81" s="79"/>
      <c r="K81" s="79"/>
      <c r="L81" s="79"/>
      <c r="M81" s="79"/>
      <c r="N81" s="79"/>
      <c r="O81" s="79"/>
      <c r="P81" s="79"/>
      <c r="Q81" s="79"/>
      <c r="R81" s="79"/>
      <c r="S81" s="79"/>
      <c r="T81" s="79"/>
    </row>
  </sheetData>
  <mergeCells count="16">
    <mergeCell ref="F1:F2"/>
    <mergeCell ref="A1:A2"/>
    <mergeCell ref="B1:B2"/>
    <mergeCell ref="C1:C2"/>
    <mergeCell ref="D1:D2"/>
    <mergeCell ref="E1:E2"/>
    <mergeCell ref="X1:X2"/>
    <mergeCell ref="Y1:Y2"/>
    <mergeCell ref="G1:G2"/>
    <mergeCell ref="H1:H2"/>
    <mergeCell ref="I1:K1"/>
    <mergeCell ref="L1:N1"/>
    <mergeCell ref="O1:P1"/>
    <mergeCell ref="Q1:S1"/>
    <mergeCell ref="T1:V1"/>
    <mergeCell ref="W1:W2"/>
  </mergeCells>
  <pageMargins left="0.7" right="0.7" top="0.75" bottom="0.75" header="0.3" footer="0.3"/>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187" workbookViewId="0">
      <selection activeCell="E21" sqref="E21"/>
    </sheetView>
  </sheetViews>
  <sheetFormatPr defaultColWidth="11.5546875" defaultRowHeight="14.4" x14ac:dyDescent="0.3"/>
  <cols>
    <col min="1" max="1" width="17.109375" style="72" customWidth="1"/>
    <col min="2" max="2" width="14.109375" bestFit="1" customWidth="1"/>
    <col min="3" max="3" width="11.33203125" customWidth="1"/>
  </cols>
  <sheetData>
    <row r="1" spans="1:6" x14ac:dyDescent="0.3">
      <c r="A1" s="103" t="s">
        <v>257</v>
      </c>
      <c r="B1" s="103" t="s">
        <v>258</v>
      </c>
      <c r="C1" s="103" t="s">
        <v>93</v>
      </c>
      <c r="F1">
        <v>0</v>
      </c>
    </row>
    <row r="2" spans="1:6" x14ac:dyDescent="0.3">
      <c r="A2" s="108" t="s">
        <v>247</v>
      </c>
      <c r="B2" s="104">
        <v>403.1</v>
      </c>
      <c r="C2" s="104">
        <v>207.54</v>
      </c>
      <c r="F2">
        <v>0</v>
      </c>
    </row>
    <row r="3" spans="1:6" x14ac:dyDescent="0.3">
      <c r="A3" s="108" t="s">
        <v>255</v>
      </c>
      <c r="B3" s="104">
        <v>160.5</v>
      </c>
      <c r="C3" s="105" t="s">
        <v>250</v>
      </c>
      <c r="F3">
        <v>0</v>
      </c>
    </row>
    <row r="4" spans="1:6" x14ac:dyDescent="0.3">
      <c r="A4" s="107" t="s">
        <v>228</v>
      </c>
      <c r="B4" s="104">
        <v>140.5</v>
      </c>
      <c r="C4" s="104">
        <v>8.02</v>
      </c>
      <c r="F4">
        <v>0</v>
      </c>
    </row>
    <row r="5" spans="1:6" x14ac:dyDescent="0.3">
      <c r="A5" s="107" t="s">
        <v>251</v>
      </c>
      <c r="B5" s="104">
        <v>128.69999999999999</v>
      </c>
      <c r="C5" s="104">
        <v>31.19</v>
      </c>
      <c r="F5">
        <v>0</v>
      </c>
    </row>
    <row r="6" spans="1:6" x14ac:dyDescent="0.3">
      <c r="A6" s="108" t="s">
        <v>252</v>
      </c>
      <c r="B6" s="104">
        <v>117.4</v>
      </c>
      <c r="C6" s="105" t="s">
        <v>250</v>
      </c>
      <c r="F6">
        <v>0</v>
      </c>
    </row>
    <row r="7" spans="1:6" x14ac:dyDescent="0.3">
      <c r="A7" s="108" t="s">
        <v>233</v>
      </c>
      <c r="B7" s="104">
        <v>71.2</v>
      </c>
      <c r="C7" s="104">
        <v>22.14</v>
      </c>
      <c r="F7">
        <v>0.1</v>
      </c>
    </row>
    <row r="8" spans="1:6" x14ac:dyDescent="0.3">
      <c r="A8" s="108" t="s">
        <v>232</v>
      </c>
      <c r="B8" s="104">
        <v>52.7</v>
      </c>
      <c r="C8" s="105" t="s">
        <v>250</v>
      </c>
      <c r="F8">
        <v>0.3</v>
      </c>
    </row>
    <row r="9" spans="1:6" ht="28.8" x14ac:dyDescent="0.3">
      <c r="A9" s="108" t="s">
        <v>256</v>
      </c>
      <c r="B9" s="104">
        <v>43.8</v>
      </c>
      <c r="C9" s="104">
        <v>0.63</v>
      </c>
      <c r="F9">
        <v>0</v>
      </c>
    </row>
    <row r="10" spans="1:6" x14ac:dyDescent="0.3">
      <c r="A10" s="108" t="s">
        <v>235</v>
      </c>
      <c r="B10" s="104">
        <v>32.200000000000003</v>
      </c>
      <c r="C10" s="104">
        <v>3.14</v>
      </c>
      <c r="F10">
        <v>65.540000000000006</v>
      </c>
    </row>
    <row r="11" spans="1:6" x14ac:dyDescent="0.3">
      <c r="A11" s="108" t="s">
        <v>236</v>
      </c>
      <c r="B11" s="104">
        <v>26.3</v>
      </c>
      <c r="C11" s="104">
        <v>5.59</v>
      </c>
      <c r="F11">
        <v>38.880000000000003</v>
      </c>
    </row>
    <row r="12" spans="1:6" x14ac:dyDescent="0.3">
      <c r="A12" s="108" t="s">
        <v>254</v>
      </c>
      <c r="B12" s="104">
        <v>21.7</v>
      </c>
      <c r="C12" s="105" t="s">
        <v>250</v>
      </c>
      <c r="F12">
        <v>3.53</v>
      </c>
    </row>
    <row r="13" spans="1:6" x14ac:dyDescent="0.3">
      <c r="A13" s="108" t="s">
        <v>239</v>
      </c>
      <c r="B13" s="104">
        <v>16.899999999999999</v>
      </c>
      <c r="C13" s="105" t="s">
        <v>250</v>
      </c>
      <c r="F13">
        <v>0</v>
      </c>
    </row>
    <row r="14" spans="1:6" x14ac:dyDescent="0.3">
      <c r="A14" s="108" t="s">
        <v>231</v>
      </c>
      <c r="B14" s="104">
        <v>15.8</v>
      </c>
      <c r="C14" s="104">
        <v>6.98</v>
      </c>
      <c r="F14">
        <v>3.2</v>
      </c>
    </row>
    <row r="15" spans="1:6" x14ac:dyDescent="0.3">
      <c r="A15" s="108" t="s">
        <v>253</v>
      </c>
      <c r="B15" s="104">
        <v>12.2</v>
      </c>
      <c r="C15" s="105" t="s">
        <v>250</v>
      </c>
      <c r="F15">
        <v>3.45</v>
      </c>
    </row>
    <row r="16" spans="1:6" x14ac:dyDescent="0.3">
      <c r="A16" s="109"/>
      <c r="B16" s="106"/>
      <c r="C16" s="106"/>
    </row>
    <row r="17" spans="1:3" x14ac:dyDescent="0.3">
      <c r="A17" s="109"/>
      <c r="B17" s="106"/>
      <c r="C17" s="106"/>
    </row>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3"/>
  <sheetViews>
    <sheetView workbookViewId="0">
      <pane ySplit="2" topLeftCell="A3" activePane="bottomLeft" state="frozen"/>
      <selection pane="bottomLeft" activeCell="AB1" sqref="AB1:BC1048576"/>
    </sheetView>
  </sheetViews>
  <sheetFormatPr defaultColWidth="11.5546875" defaultRowHeight="14.4" x14ac:dyDescent="0.3"/>
  <cols>
    <col min="1" max="1" width="7.77734375" bestFit="1" customWidth="1"/>
    <col min="2" max="2" width="8.44140625" style="11" bestFit="1" customWidth="1"/>
    <col min="3" max="3" width="17.33203125" bestFit="1" customWidth="1"/>
    <col min="4" max="4" width="6.109375" bestFit="1" customWidth="1"/>
    <col min="5" max="5" width="9.6640625" bestFit="1" customWidth="1"/>
    <col min="6" max="7" width="7.6640625" customWidth="1"/>
    <col min="8" max="8" width="5.6640625" bestFit="1" customWidth="1"/>
    <col min="9" max="9" width="8.44140625" bestFit="1" customWidth="1"/>
    <col min="11" max="11" width="12.33203125" bestFit="1" customWidth="1"/>
    <col min="13" max="13" width="8.77734375" bestFit="1" customWidth="1"/>
    <col min="14" max="14" width="9.6640625" bestFit="1" customWidth="1"/>
    <col min="15" max="15" width="8.33203125" bestFit="1" customWidth="1"/>
    <col min="16" max="16" width="8.109375" bestFit="1" customWidth="1"/>
    <col min="17" max="17" width="5.6640625" bestFit="1" customWidth="1"/>
    <col min="18" max="18" width="10.109375" bestFit="1" customWidth="1"/>
    <col min="19" max="19" width="10" bestFit="1" customWidth="1"/>
    <col min="20" max="20" width="5.6640625" bestFit="1" customWidth="1"/>
    <col min="21" max="21" width="12.44140625" bestFit="1" customWidth="1"/>
    <col min="22" max="22" width="7.6640625" bestFit="1" customWidth="1"/>
    <col min="23" max="24" width="5.6640625" bestFit="1" customWidth="1"/>
    <col min="25" max="25" width="6.6640625" bestFit="1" customWidth="1"/>
    <col min="26" max="26" width="10.77734375" style="72"/>
  </cols>
  <sheetData>
    <row r="1" spans="1:27" s="8" customFormat="1" x14ac:dyDescent="0.3">
      <c r="A1" s="153" t="s">
        <v>30</v>
      </c>
      <c r="B1" s="156" t="s">
        <v>17</v>
      </c>
      <c r="C1" s="154" t="s">
        <v>38</v>
      </c>
      <c r="D1" s="153" t="s">
        <v>16</v>
      </c>
      <c r="E1" s="155" t="s">
        <v>46</v>
      </c>
      <c r="F1" s="155" t="s">
        <v>59</v>
      </c>
      <c r="G1" s="155" t="s">
        <v>60</v>
      </c>
      <c r="H1" s="152" t="s">
        <v>0</v>
      </c>
      <c r="I1" s="152" t="s">
        <v>1</v>
      </c>
      <c r="J1" s="152"/>
      <c r="K1" s="152"/>
      <c r="L1" s="152" t="s">
        <v>5</v>
      </c>
      <c r="M1" s="152"/>
      <c r="N1" s="152"/>
      <c r="O1" s="152" t="s">
        <v>6</v>
      </c>
      <c r="P1" s="152"/>
      <c r="Q1" s="151" t="s">
        <v>7</v>
      </c>
      <c r="R1" s="151"/>
      <c r="S1" s="151"/>
      <c r="T1" s="151" t="s">
        <v>9</v>
      </c>
      <c r="U1" s="151"/>
      <c r="V1" s="151"/>
      <c r="W1" s="151" t="s">
        <v>12</v>
      </c>
      <c r="X1" s="151" t="s">
        <v>13</v>
      </c>
      <c r="Y1" s="151" t="s">
        <v>14</v>
      </c>
    </row>
    <row r="2" spans="1:27" s="70" customFormat="1" ht="57.6" x14ac:dyDescent="0.3">
      <c r="A2" s="153"/>
      <c r="B2" s="156"/>
      <c r="C2" s="154"/>
      <c r="D2" s="153"/>
      <c r="E2" s="155"/>
      <c r="F2" s="155"/>
      <c r="G2" s="155"/>
      <c r="H2" s="152"/>
      <c r="I2" s="70" t="s">
        <v>2</v>
      </c>
      <c r="J2" s="70" t="s">
        <v>3</v>
      </c>
      <c r="K2" s="69" t="s">
        <v>4</v>
      </c>
      <c r="L2" s="70" t="s">
        <v>18</v>
      </c>
      <c r="M2" s="70" t="s">
        <v>19</v>
      </c>
      <c r="N2" s="70" t="s">
        <v>22</v>
      </c>
      <c r="O2" s="70" t="s">
        <v>20</v>
      </c>
      <c r="P2" s="70" t="s">
        <v>21</v>
      </c>
      <c r="Q2" s="70" t="s">
        <v>8</v>
      </c>
      <c r="R2" s="69" t="s">
        <v>15</v>
      </c>
      <c r="S2" s="69" t="s">
        <v>24</v>
      </c>
      <c r="T2" s="70" t="s">
        <v>10</v>
      </c>
      <c r="U2" s="70" t="s">
        <v>11</v>
      </c>
      <c r="V2" s="70" t="s">
        <v>23</v>
      </c>
      <c r="W2" s="151"/>
      <c r="X2" s="151"/>
      <c r="Y2" s="151"/>
    </row>
    <row r="3" spans="1:27" s="56" customFormat="1" x14ac:dyDescent="0.3">
      <c r="B3" s="11">
        <v>44187</v>
      </c>
      <c r="C3" s="63">
        <v>1</v>
      </c>
      <c r="E3" s="56" t="s">
        <v>73</v>
      </c>
      <c r="F3" s="42">
        <v>86.8</v>
      </c>
      <c r="G3" s="42">
        <v>34.9</v>
      </c>
      <c r="H3" s="42">
        <v>8</v>
      </c>
      <c r="I3" s="42">
        <v>2.4500000000000002</v>
      </c>
      <c r="J3" s="42">
        <v>2.7</v>
      </c>
      <c r="K3" s="42">
        <v>0</v>
      </c>
      <c r="L3" s="42">
        <v>0.9</v>
      </c>
      <c r="M3" s="42">
        <v>0.2</v>
      </c>
      <c r="N3" s="42">
        <v>0</v>
      </c>
      <c r="O3" s="42">
        <v>1.85</v>
      </c>
      <c r="P3" s="42">
        <v>1.5</v>
      </c>
      <c r="Q3" s="42">
        <v>1.6</v>
      </c>
      <c r="R3" s="42">
        <v>0.95000000000000007</v>
      </c>
      <c r="S3" s="42">
        <v>0</v>
      </c>
      <c r="T3" s="42">
        <v>12.5</v>
      </c>
      <c r="U3" s="42">
        <v>1.75</v>
      </c>
      <c r="V3" s="42">
        <v>0</v>
      </c>
      <c r="W3" s="42">
        <v>0.5</v>
      </c>
      <c r="X3" s="42">
        <v>0</v>
      </c>
      <c r="Y3" s="42">
        <v>51.9</v>
      </c>
      <c r="Z3" s="8" t="s">
        <v>64</v>
      </c>
      <c r="AA3" s="65"/>
    </row>
    <row r="4" spans="1:27" s="56" customFormat="1" x14ac:dyDescent="0.3">
      <c r="B4" s="11">
        <v>44187</v>
      </c>
      <c r="C4" s="63">
        <v>2</v>
      </c>
      <c r="E4" s="56" t="s">
        <v>74</v>
      </c>
      <c r="F4" s="42">
        <v>79.05</v>
      </c>
      <c r="G4" s="42">
        <v>41.95</v>
      </c>
      <c r="H4" s="42">
        <v>12.4</v>
      </c>
      <c r="I4" s="42">
        <v>3.25</v>
      </c>
      <c r="J4" s="42">
        <v>3.25</v>
      </c>
      <c r="K4" s="42">
        <v>0</v>
      </c>
      <c r="L4" s="42">
        <v>1.85</v>
      </c>
      <c r="M4" s="42">
        <v>0.55000000000000004</v>
      </c>
      <c r="N4" s="42">
        <v>0</v>
      </c>
      <c r="O4" s="42">
        <v>0.5</v>
      </c>
      <c r="P4" s="42">
        <v>0.25</v>
      </c>
      <c r="Q4" s="42">
        <v>5</v>
      </c>
      <c r="R4" s="42">
        <v>1.7000000000000002</v>
      </c>
      <c r="S4" s="42">
        <v>0</v>
      </c>
      <c r="T4" s="42">
        <v>8.3000000000000007</v>
      </c>
      <c r="U4" s="42">
        <v>2.95</v>
      </c>
      <c r="V4" s="42">
        <v>0</v>
      </c>
      <c r="W4" s="42">
        <v>1.95</v>
      </c>
      <c r="X4" s="42">
        <v>0</v>
      </c>
      <c r="Y4" s="42">
        <v>37.1</v>
      </c>
      <c r="Z4" s="8" t="s">
        <v>64</v>
      </c>
      <c r="AA4" s="65"/>
    </row>
    <row r="5" spans="1:27" x14ac:dyDescent="0.3">
      <c r="C5" s="6"/>
      <c r="F5" s="3"/>
      <c r="G5" s="3"/>
      <c r="H5" s="3"/>
      <c r="I5" s="3"/>
      <c r="J5" s="3"/>
      <c r="K5" s="3"/>
      <c r="L5" s="3"/>
      <c r="M5" s="3"/>
      <c r="N5" s="3"/>
      <c r="O5" s="3"/>
      <c r="P5" s="3"/>
      <c r="Q5" s="3"/>
      <c r="R5" s="3"/>
      <c r="S5" s="3"/>
      <c r="T5" s="3"/>
      <c r="U5" s="3"/>
      <c r="V5" s="3"/>
      <c r="W5" s="3"/>
      <c r="X5" s="3"/>
      <c r="Y5" s="3"/>
      <c r="Z5" s="71"/>
      <c r="AA5" s="1"/>
    </row>
    <row r="6" spans="1:27" s="56" customFormat="1" x14ac:dyDescent="0.3">
      <c r="B6" s="11">
        <v>44188</v>
      </c>
      <c r="C6" s="63">
        <v>1</v>
      </c>
      <c r="E6" s="56" t="s">
        <v>73</v>
      </c>
      <c r="F6" s="42">
        <v>119.19999999999999</v>
      </c>
      <c r="G6" s="42">
        <v>43</v>
      </c>
      <c r="H6" s="42">
        <v>11.25</v>
      </c>
      <c r="I6" s="42">
        <v>3.85</v>
      </c>
      <c r="J6" s="42">
        <v>1.4</v>
      </c>
      <c r="K6" s="42">
        <v>0</v>
      </c>
      <c r="L6" s="42">
        <v>5.8999999999999995</v>
      </c>
      <c r="M6" s="42">
        <v>1.9</v>
      </c>
      <c r="N6" s="42">
        <v>0</v>
      </c>
      <c r="O6" s="42">
        <v>1.325</v>
      </c>
      <c r="P6" s="42">
        <v>0.875</v>
      </c>
      <c r="Q6" s="42">
        <v>5.8</v>
      </c>
      <c r="R6" s="42">
        <v>0.65</v>
      </c>
      <c r="S6" s="42">
        <v>0</v>
      </c>
      <c r="T6" s="42">
        <v>5.3</v>
      </c>
      <c r="U6" s="42">
        <v>2.5</v>
      </c>
      <c r="V6" s="42">
        <v>0.6</v>
      </c>
      <c r="W6" s="42">
        <v>1.6500000000000001</v>
      </c>
      <c r="X6" s="42">
        <v>0</v>
      </c>
      <c r="Y6" s="42">
        <v>76.199999999999989</v>
      </c>
      <c r="Z6" s="70" t="s">
        <v>66</v>
      </c>
      <c r="AA6" s="65"/>
    </row>
    <row r="7" spans="1:27" s="56" customFormat="1" x14ac:dyDescent="0.3">
      <c r="B7" s="11">
        <v>44188</v>
      </c>
      <c r="C7" s="63">
        <v>2</v>
      </c>
      <c r="E7" s="56" t="s">
        <v>74</v>
      </c>
      <c r="F7" s="42">
        <v>93.5</v>
      </c>
      <c r="G7" s="42">
        <v>47.300000000000004</v>
      </c>
      <c r="H7" s="42">
        <v>11.7</v>
      </c>
      <c r="I7" s="42">
        <v>3.95</v>
      </c>
      <c r="J7" s="42">
        <v>1.8</v>
      </c>
      <c r="K7" s="42">
        <v>0</v>
      </c>
      <c r="L7" s="42">
        <v>4.3</v>
      </c>
      <c r="M7" s="42">
        <v>3.2</v>
      </c>
      <c r="N7" s="42">
        <v>0</v>
      </c>
      <c r="O7" s="42">
        <v>0.75</v>
      </c>
      <c r="P7" s="42">
        <v>0.3</v>
      </c>
      <c r="Q7" s="42">
        <v>5.2</v>
      </c>
      <c r="R7" s="42">
        <v>1.2</v>
      </c>
      <c r="S7" s="42">
        <v>0</v>
      </c>
      <c r="T7" s="42">
        <v>12.450000000000001</v>
      </c>
      <c r="U7" s="42">
        <v>1.65</v>
      </c>
      <c r="V7" s="42">
        <v>0</v>
      </c>
      <c r="W7" s="42">
        <v>0.8</v>
      </c>
      <c r="X7" s="42">
        <v>0</v>
      </c>
      <c r="Y7" s="42">
        <v>46.199999999999996</v>
      </c>
      <c r="Z7" s="70" t="s">
        <v>66</v>
      </c>
      <c r="AA7" s="65"/>
    </row>
    <row r="8" spans="1:27" x14ac:dyDescent="0.3">
      <c r="C8" s="6"/>
      <c r="F8" s="3"/>
      <c r="G8" s="3"/>
      <c r="H8" s="4"/>
      <c r="I8" s="4"/>
      <c r="J8" s="4"/>
      <c r="K8" s="4"/>
      <c r="L8" s="4"/>
      <c r="M8" s="4"/>
      <c r="N8" s="4"/>
      <c r="O8" s="4"/>
      <c r="P8" s="4"/>
      <c r="Q8" s="4"/>
      <c r="R8" s="4"/>
      <c r="S8" s="4"/>
      <c r="T8" s="4"/>
      <c r="U8" s="4"/>
      <c r="V8" s="4"/>
      <c r="W8" s="4"/>
      <c r="X8" s="4"/>
      <c r="Y8" s="4"/>
      <c r="Z8" s="71"/>
      <c r="AA8" s="1"/>
    </row>
    <row r="9" spans="1:27" s="56" customFormat="1" x14ac:dyDescent="0.3">
      <c r="B9" s="11">
        <v>44189</v>
      </c>
      <c r="C9" s="63">
        <v>1</v>
      </c>
      <c r="E9" s="56" t="s">
        <v>73</v>
      </c>
      <c r="F9" s="42">
        <v>34.08</v>
      </c>
      <c r="G9" s="42">
        <v>13.079999999999998</v>
      </c>
      <c r="H9" s="42">
        <v>1.5999999999999999</v>
      </c>
      <c r="I9" s="42">
        <v>0.05</v>
      </c>
      <c r="J9" s="42">
        <v>0.05</v>
      </c>
      <c r="K9" s="42">
        <v>0</v>
      </c>
      <c r="L9" s="42">
        <v>0</v>
      </c>
      <c r="M9" s="42">
        <v>0.8</v>
      </c>
      <c r="N9" s="42">
        <v>0</v>
      </c>
      <c r="O9" s="42">
        <v>0</v>
      </c>
      <c r="P9" s="42">
        <v>0</v>
      </c>
      <c r="Q9" s="42">
        <v>2.9</v>
      </c>
      <c r="R9" s="42">
        <v>0.45</v>
      </c>
      <c r="S9" s="42">
        <v>0.1</v>
      </c>
      <c r="T9" s="42">
        <v>6.93</v>
      </c>
      <c r="U9" s="42">
        <v>0.19999999999999998</v>
      </c>
      <c r="V9" s="42">
        <v>0</v>
      </c>
      <c r="W9" s="42">
        <v>0</v>
      </c>
      <c r="X9" s="42">
        <v>0</v>
      </c>
      <c r="Y9" s="42">
        <v>21</v>
      </c>
      <c r="Z9" s="8" t="s">
        <v>67</v>
      </c>
      <c r="AA9" s="42"/>
    </row>
    <row r="10" spans="1:27" s="56" customFormat="1" x14ac:dyDescent="0.3">
      <c r="B10" s="11">
        <v>44189</v>
      </c>
      <c r="C10" s="63">
        <v>2</v>
      </c>
      <c r="E10" s="56" t="s">
        <v>74</v>
      </c>
      <c r="F10" s="42">
        <v>76.919999999999987</v>
      </c>
      <c r="G10" s="42">
        <v>51.269999999999996</v>
      </c>
      <c r="H10" s="42">
        <v>7.42</v>
      </c>
      <c r="I10" s="42">
        <v>4.9399999999999995</v>
      </c>
      <c r="J10" s="42">
        <v>1.3399999999999999</v>
      </c>
      <c r="K10" s="42">
        <v>0</v>
      </c>
      <c r="L10" s="42">
        <v>0.49</v>
      </c>
      <c r="M10" s="42">
        <v>5.34</v>
      </c>
      <c r="N10" s="42">
        <v>0</v>
      </c>
      <c r="O10" s="42">
        <v>0.9</v>
      </c>
      <c r="P10" s="42">
        <v>0</v>
      </c>
      <c r="Q10" s="42">
        <v>15.75</v>
      </c>
      <c r="R10" s="42">
        <v>0.08</v>
      </c>
      <c r="S10" s="42">
        <v>0</v>
      </c>
      <c r="T10" s="42">
        <v>10.23</v>
      </c>
      <c r="U10" s="42">
        <v>4.12</v>
      </c>
      <c r="V10" s="42">
        <v>0.66</v>
      </c>
      <c r="W10" s="42">
        <v>0</v>
      </c>
      <c r="X10" s="42">
        <v>0</v>
      </c>
      <c r="Y10" s="42">
        <v>25.65</v>
      </c>
      <c r="Z10" s="8" t="s">
        <v>67</v>
      </c>
      <c r="AA10" s="65"/>
    </row>
    <row r="11" spans="1:27" x14ac:dyDescent="0.3">
      <c r="C11" s="6"/>
      <c r="F11" s="3"/>
      <c r="G11" s="3"/>
      <c r="H11" s="3"/>
      <c r="I11" s="3"/>
      <c r="J11" s="3"/>
      <c r="K11" s="3"/>
      <c r="L11" s="3"/>
      <c r="M11" s="3"/>
      <c r="N11" s="3"/>
      <c r="O11" s="3"/>
      <c r="P11" s="3"/>
      <c r="Q11" s="3"/>
      <c r="R11" s="3"/>
      <c r="S11" s="3"/>
      <c r="T11" s="3"/>
      <c r="U11" s="3"/>
      <c r="V11" s="3"/>
      <c r="W11" s="3"/>
      <c r="X11" s="3"/>
      <c r="Y11" s="3"/>
      <c r="AA11" s="1"/>
    </row>
    <row r="12" spans="1:27" s="56" customFormat="1" x14ac:dyDescent="0.3">
      <c r="B12" s="11">
        <v>44191</v>
      </c>
      <c r="C12" s="63">
        <v>1</v>
      </c>
      <c r="E12" s="56" t="s">
        <v>73</v>
      </c>
      <c r="F12" s="42">
        <v>130.85</v>
      </c>
      <c r="G12" s="42">
        <v>47.55</v>
      </c>
      <c r="H12" s="42">
        <v>11.5</v>
      </c>
      <c r="I12" s="42">
        <v>6.9749999999999996</v>
      </c>
      <c r="J12" s="42">
        <v>2.6950000000000003</v>
      </c>
      <c r="K12" s="42">
        <v>0</v>
      </c>
      <c r="L12" s="42">
        <v>0.25</v>
      </c>
      <c r="M12" s="42">
        <v>2.7</v>
      </c>
      <c r="N12" s="42">
        <v>0</v>
      </c>
      <c r="O12" s="42">
        <v>0</v>
      </c>
      <c r="P12" s="42">
        <v>1.2</v>
      </c>
      <c r="Q12" s="42">
        <v>2.88</v>
      </c>
      <c r="R12" s="42">
        <v>0.95000000000000007</v>
      </c>
      <c r="S12" s="42">
        <v>0</v>
      </c>
      <c r="T12" s="42">
        <v>14.08</v>
      </c>
      <c r="U12" s="42">
        <v>4.2</v>
      </c>
      <c r="V12" s="42">
        <v>0</v>
      </c>
      <c r="W12" s="42">
        <v>0.12</v>
      </c>
      <c r="X12" s="42">
        <v>0</v>
      </c>
      <c r="Y12" s="42">
        <v>83.3</v>
      </c>
      <c r="Z12" s="8" t="s">
        <v>65</v>
      </c>
      <c r="AA12" s="42"/>
    </row>
    <row r="13" spans="1:27" s="56" customFormat="1" x14ac:dyDescent="0.3">
      <c r="B13" s="11">
        <v>44191</v>
      </c>
      <c r="C13" s="63">
        <v>2</v>
      </c>
      <c r="E13" s="56" t="s">
        <v>74</v>
      </c>
      <c r="F13" s="42">
        <v>145.93</v>
      </c>
      <c r="G13" s="42">
        <v>69.73</v>
      </c>
      <c r="H13" s="42">
        <v>11.11</v>
      </c>
      <c r="I13" s="42">
        <v>9.27</v>
      </c>
      <c r="J13" s="42">
        <v>2.93</v>
      </c>
      <c r="K13" s="42">
        <v>0</v>
      </c>
      <c r="L13" s="42">
        <v>1.75</v>
      </c>
      <c r="M13" s="42">
        <v>2</v>
      </c>
      <c r="N13" s="42">
        <v>0</v>
      </c>
      <c r="O13" s="42">
        <v>0.2</v>
      </c>
      <c r="P13" s="42">
        <v>0.8</v>
      </c>
      <c r="Q13" s="42">
        <v>4.16</v>
      </c>
      <c r="R13" s="42">
        <v>0.80999999999999994</v>
      </c>
      <c r="S13" s="42">
        <v>10.64</v>
      </c>
      <c r="T13" s="42">
        <v>14.259999999999998</v>
      </c>
      <c r="U13" s="42">
        <v>6.57</v>
      </c>
      <c r="V13" s="42">
        <v>0</v>
      </c>
      <c r="W13" s="42">
        <v>5.23</v>
      </c>
      <c r="X13" s="42">
        <v>0</v>
      </c>
      <c r="Y13" s="42">
        <v>76.199999999999989</v>
      </c>
      <c r="Z13" s="8" t="s">
        <v>65</v>
      </c>
    </row>
    <row r="14" spans="1:27" x14ac:dyDescent="0.3">
      <c r="C14" s="6"/>
      <c r="F14" s="3"/>
      <c r="G14" s="3"/>
      <c r="H14" s="3"/>
      <c r="I14" s="3"/>
      <c r="J14" s="3"/>
      <c r="K14" s="3"/>
      <c r="L14" s="3"/>
      <c r="M14" s="3"/>
      <c r="N14" s="3"/>
      <c r="O14" s="3"/>
      <c r="P14" s="3"/>
      <c r="Q14" s="3"/>
      <c r="R14" s="3"/>
      <c r="S14" s="3"/>
      <c r="T14" s="3"/>
      <c r="U14" s="3"/>
      <c r="V14" s="3"/>
      <c r="W14" s="3"/>
      <c r="X14" s="3"/>
      <c r="Y14" s="3"/>
    </row>
    <row r="15" spans="1:27" s="56" customFormat="1" x14ac:dyDescent="0.3">
      <c r="B15" s="11">
        <v>44192</v>
      </c>
      <c r="C15" s="63">
        <v>1</v>
      </c>
      <c r="E15" s="56" t="s">
        <v>73</v>
      </c>
      <c r="F15" s="42">
        <v>133.73500000000001</v>
      </c>
      <c r="G15" s="42">
        <v>49.234999999999999</v>
      </c>
      <c r="H15" s="42">
        <v>9.7999999999999989</v>
      </c>
      <c r="I15" s="42">
        <v>4</v>
      </c>
      <c r="J15" s="42">
        <v>2.38</v>
      </c>
      <c r="K15" s="42">
        <v>0</v>
      </c>
      <c r="L15" s="42">
        <v>1.33</v>
      </c>
      <c r="M15" s="42">
        <v>4.5299999999999994</v>
      </c>
      <c r="N15" s="42">
        <v>0</v>
      </c>
      <c r="O15" s="42">
        <v>3.125</v>
      </c>
      <c r="P15" s="42">
        <v>0</v>
      </c>
      <c r="Q15" s="42">
        <v>5.5500000000000007</v>
      </c>
      <c r="R15" s="42">
        <v>2.65</v>
      </c>
      <c r="S15" s="42">
        <v>0.78</v>
      </c>
      <c r="T15" s="42">
        <v>8.3000000000000007</v>
      </c>
      <c r="U15" s="42">
        <v>3.64</v>
      </c>
      <c r="V15" s="42">
        <v>0</v>
      </c>
      <c r="W15" s="42">
        <v>3.15</v>
      </c>
      <c r="X15" s="42">
        <v>0</v>
      </c>
      <c r="Y15" s="42">
        <v>84.5</v>
      </c>
      <c r="Z15" s="8" t="s">
        <v>66</v>
      </c>
    </row>
    <row r="16" spans="1:27" s="56" customFormat="1" x14ac:dyDescent="0.3">
      <c r="B16" s="11">
        <v>44192</v>
      </c>
      <c r="C16" s="63">
        <v>2</v>
      </c>
      <c r="E16" s="56" t="s">
        <v>74</v>
      </c>
      <c r="F16" s="42">
        <v>0</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v>0</v>
      </c>
      <c r="Z16" s="8" t="s">
        <v>66</v>
      </c>
    </row>
    <row r="17" spans="1:26" x14ac:dyDescent="0.3">
      <c r="C17" s="6"/>
      <c r="F17" s="3"/>
      <c r="G17" s="3"/>
      <c r="H17" s="3"/>
      <c r="I17" s="3"/>
      <c r="J17" s="3"/>
      <c r="K17" s="3"/>
      <c r="L17" s="3"/>
      <c r="M17" s="3"/>
      <c r="N17" s="3"/>
      <c r="O17" s="3"/>
      <c r="P17" s="3"/>
      <c r="Q17" s="3"/>
      <c r="R17" s="3"/>
      <c r="S17" s="3"/>
      <c r="T17" s="3"/>
      <c r="U17" s="3"/>
      <c r="V17" s="3"/>
      <c r="W17" s="3"/>
      <c r="X17" s="3"/>
      <c r="Y17" s="3"/>
    </row>
    <row r="18" spans="1:26" s="56" customFormat="1" x14ac:dyDescent="0.3">
      <c r="B18" s="11">
        <v>44193</v>
      </c>
      <c r="C18" s="63">
        <v>1</v>
      </c>
      <c r="E18" s="56" t="s">
        <v>73</v>
      </c>
      <c r="F18" s="42">
        <v>132.55500000000001</v>
      </c>
      <c r="G18" s="42">
        <v>48.855000000000004</v>
      </c>
      <c r="H18" s="42">
        <v>11.16</v>
      </c>
      <c r="I18" s="42">
        <v>1.9125000000000001</v>
      </c>
      <c r="J18" s="42">
        <v>0.79250000000000009</v>
      </c>
      <c r="K18" s="42">
        <v>0</v>
      </c>
      <c r="L18" s="42">
        <v>1.24</v>
      </c>
      <c r="M18" s="42">
        <v>4.9399999999999995</v>
      </c>
      <c r="N18" s="42">
        <v>0</v>
      </c>
      <c r="O18" s="42">
        <v>2.15</v>
      </c>
      <c r="P18" s="42">
        <v>0</v>
      </c>
      <c r="Q18" s="42">
        <v>9.120000000000001</v>
      </c>
      <c r="R18" s="42">
        <v>0.9900000000000001</v>
      </c>
      <c r="S18" s="42">
        <v>3.53</v>
      </c>
      <c r="T18" s="42">
        <v>7.4700000000000006</v>
      </c>
      <c r="U18" s="42">
        <v>2.5499999999999998</v>
      </c>
      <c r="V18" s="42">
        <v>0</v>
      </c>
      <c r="W18" s="42">
        <v>3</v>
      </c>
      <c r="X18" s="42">
        <v>0</v>
      </c>
      <c r="Y18" s="42">
        <v>83.7</v>
      </c>
      <c r="Z18" s="8" t="s">
        <v>66</v>
      </c>
    </row>
    <row r="19" spans="1:26" s="56" customFormat="1" x14ac:dyDescent="0.3">
      <c r="B19" s="11">
        <v>44193</v>
      </c>
      <c r="C19" s="63">
        <v>2</v>
      </c>
      <c r="E19" s="56" t="s">
        <v>74</v>
      </c>
      <c r="F19" s="42">
        <v>126.90000000000002</v>
      </c>
      <c r="G19" s="42">
        <v>53.65</v>
      </c>
      <c r="H19" s="42">
        <v>6.7</v>
      </c>
      <c r="I19" s="42">
        <v>6.7</v>
      </c>
      <c r="J19" s="42">
        <v>2.76</v>
      </c>
      <c r="K19" s="42">
        <v>0</v>
      </c>
      <c r="L19" s="42">
        <v>0.72000000000000008</v>
      </c>
      <c r="M19" s="42">
        <v>3.9899999999999998</v>
      </c>
      <c r="N19" s="42">
        <v>0</v>
      </c>
      <c r="O19" s="42">
        <v>1.7999999999999998</v>
      </c>
      <c r="P19" s="42">
        <v>1.3199999999999998</v>
      </c>
      <c r="Q19" s="42">
        <v>11.799999999999999</v>
      </c>
      <c r="R19" s="42">
        <v>1.34</v>
      </c>
      <c r="S19" s="42">
        <v>0</v>
      </c>
      <c r="T19" s="42">
        <v>9.6300000000000008</v>
      </c>
      <c r="U19" s="42">
        <v>5.39</v>
      </c>
      <c r="V19" s="42">
        <v>0</v>
      </c>
      <c r="W19" s="42">
        <v>1.5</v>
      </c>
      <c r="X19" s="42">
        <v>0</v>
      </c>
      <c r="Y19" s="42">
        <v>73.250000000000014</v>
      </c>
      <c r="Z19" s="8" t="s">
        <v>66</v>
      </c>
    </row>
    <row r="20" spans="1:26" x14ac:dyDescent="0.3">
      <c r="C20" s="6"/>
      <c r="F20" s="3"/>
      <c r="G20" s="3"/>
      <c r="H20" s="3"/>
      <c r="I20" s="3"/>
      <c r="J20" s="3"/>
      <c r="K20" s="3"/>
      <c r="L20" s="3"/>
      <c r="M20" s="3"/>
      <c r="N20" s="3"/>
      <c r="O20" s="3"/>
      <c r="P20" s="3"/>
      <c r="Q20" s="3"/>
      <c r="R20" s="3"/>
      <c r="S20" s="3"/>
      <c r="T20" s="3"/>
      <c r="U20" s="3"/>
      <c r="V20" s="3"/>
      <c r="W20" s="3"/>
      <c r="X20" s="3"/>
      <c r="Y20" s="3"/>
    </row>
    <row r="21" spans="1:26" s="56" customFormat="1" x14ac:dyDescent="0.3">
      <c r="B21" s="11">
        <v>44194</v>
      </c>
      <c r="C21" s="63">
        <v>1</v>
      </c>
      <c r="E21" s="56" t="s">
        <v>73</v>
      </c>
      <c r="F21" s="42">
        <v>114.86999999999999</v>
      </c>
      <c r="G21" s="42">
        <v>39.469999999999992</v>
      </c>
      <c r="H21" s="42">
        <v>4.9000000000000004</v>
      </c>
      <c r="I21" s="42">
        <v>2.97</v>
      </c>
      <c r="J21" s="42">
        <v>2.7700000000000005</v>
      </c>
      <c r="K21" s="42">
        <v>0</v>
      </c>
      <c r="L21" s="42">
        <v>4.6499999999999995</v>
      </c>
      <c r="M21" s="42">
        <v>1.22</v>
      </c>
      <c r="N21" s="42">
        <v>0</v>
      </c>
      <c r="O21" s="42">
        <v>1.7000000000000002</v>
      </c>
      <c r="P21" s="42">
        <v>0.8</v>
      </c>
      <c r="Q21" s="42">
        <v>1.9999999999999998</v>
      </c>
      <c r="R21" s="42">
        <v>0.15000000000000002</v>
      </c>
      <c r="S21" s="42">
        <v>3.1999999999999997</v>
      </c>
      <c r="T21" s="42">
        <v>13.299999999999997</v>
      </c>
      <c r="U21" s="42">
        <v>1.8099999999999998</v>
      </c>
      <c r="V21" s="42">
        <v>0</v>
      </c>
      <c r="W21" s="42">
        <v>0</v>
      </c>
      <c r="X21" s="42">
        <v>0</v>
      </c>
      <c r="Y21" s="42">
        <v>87.84999999999998</v>
      </c>
      <c r="Z21" s="8" t="s">
        <v>66</v>
      </c>
    </row>
    <row r="22" spans="1:26" s="56" customFormat="1" x14ac:dyDescent="0.3">
      <c r="B22" s="11">
        <v>44194</v>
      </c>
      <c r="C22" s="63">
        <v>2</v>
      </c>
      <c r="E22" s="56" t="s">
        <v>74</v>
      </c>
      <c r="F22" s="42">
        <v>125.31</v>
      </c>
      <c r="G22" s="42">
        <v>54.24</v>
      </c>
      <c r="H22" s="42">
        <v>3.6499999999999995</v>
      </c>
      <c r="I22" s="42">
        <v>3.0800000000000005</v>
      </c>
      <c r="J22" s="42">
        <v>1.8199999999999998</v>
      </c>
      <c r="K22" s="42">
        <v>1.66</v>
      </c>
      <c r="L22" s="42">
        <v>0.83000000000000007</v>
      </c>
      <c r="M22" s="42">
        <v>5.17</v>
      </c>
      <c r="N22" s="42">
        <v>0</v>
      </c>
      <c r="O22" s="42">
        <v>2.62</v>
      </c>
      <c r="P22" s="42">
        <v>0</v>
      </c>
      <c r="Q22" s="42">
        <v>9.1000000000000014</v>
      </c>
      <c r="R22" s="42">
        <v>0.48</v>
      </c>
      <c r="S22" s="42">
        <v>3.45</v>
      </c>
      <c r="T22" s="42">
        <v>4.04</v>
      </c>
      <c r="U22" s="42">
        <v>1.54</v>
      </c>
      <c r="V22" s="42">
        <v>0</v>
      </c>
      <c r="W22" s="42">
        <v>16.8</v>
      </c>
      <c r="X22" s="42">
        <v>0</v>
      </c>
      <c r="Y22" s="42">
        <v>71.069999999999993</v>
      </c>
      <c r="Z22" s="8" t="s">
        <v>66</v>
      </c>
    </row>
    <row r="23" spans="1:26" x14ac:dyDescent="0.3">
      <c r="C23" s="6"/>
      <c r="F23" s="3"/>
      <c r="G23" s="3"/>
      <c r="H23" s="3"/>
      <c r="I23" s="3"/>
      <c r="J23" s="3"/>
      <c r="K23" s="3"/>
      <c r="L23" s="3"/>
      <c r="M23" s="3"/>
      <c r="N23" s="3"/>
      <c r="O23" s="3"/>
      <c r="P23" s="3"/>
      <c r="Q23" s="3"/>
      <c r="R23" s="3"/>
      <c r="S23" s="3"/>
      <c r="T23" s="3"/>
      <c r="U23" s="3"/>
      <c r="V23" s="3"/>
      <c r="W23" s="3"/>
      <c r="X23" s="3"/>
      <c r="Y23" s="3"/>
    </row>
    <row r="24" spans="1:26" s="56" customFormat="1" x14ac:dyDescent="0.3">
      <c r="B24" s="11">
        <v>44197</v>
      </c>
      <c r="C24" s="63"/>
      <c r="E24" s="56" t="s">
        <v>75</v>
      </c>
      <c r="F24" s="42">
        <v>597.92000000000007</v>
      </c>
      <c r="G24" s="42">
        <v>177.34023066485753</v>
      </c>
      <c r="H24" s="42">
        <v>39.595997286295798</v>
      </c>
      <c r="I24" s="42">
        <v>2.8400000000000003</v>
      </c>
      <c r="J24" s="42">
        <v>2.0999999999999996</v>
      </c>
      <c r="K24" s="42">
        <v>0</v>
      </c>
      <c r="L24" s="42">
        <v>14.153324287652644</v>
      </c>
      <c r="M24" s="42">
        <v>50.178358208955224</v>
      </c>
      <c r="N24" s="42">
        <v>0</v>
      </c>
      <c r="O24" s="42">
        <v>2.9000000000000004</v>
      </c>
      <c r="P24" s="42">
        <v>0</v>
      </c>
      <c r="Q24" s="42">
        <v>38.625033921302581</v>
      </c>
      <c r="R24" s="42">
        <v>9.287951153324288</v>
      </c>
      <c r="S24" s="42">
        <v>0.72279511533242891</v>
      </c>
      <c r="T24" s="42">
        <v>9.31</v>
      </c>
      <c r="U24" s="42">
        <v>2.11</v>
      </c>
      <c r="V24" s="42">
        <v>0</v>
      </c>
      <c r="W24" s="42">
        <v>5.5167706919945729</v>
      </c>
      <c r="X24" s="42">
        <v>0</v>
      </c>
      <c r="Y24" s="42">
        <v>420.57976933514249</v>
      </c>
      <c r="Z24" s="8" t="s">
        <v>68</v>
      </c>
    </row>
    <row r="25" spans="1:26" s="56" customFormat="1" x14ac:dyDescent="0.3">
      <c r="B25" s="11">
        <v>44197</v>
      </c>
      <c r="C25" s="63">
        <v>1</v>
      </c>
      <c r="E25" s="56" t="s">
        <v>73</v>
      </c>
      <c r="F25" s="42">
        <v>407.12</v>
      </c>
      <c r="G25" s="42">
        <v>150.71023066485753</v>
      </c>
      <c r="H25" s="42">
        <v>35.045997286295801</v>
      </c>
      <c r="I25" s="42">
        <v>2.64</v>
      </c>
      <c r="J25" s="42">
        <v>1.7999999999999998</v>
      </c>
      <c r="K25" s="42">
        <v>0</v>
      </c>
      <c r="L25" s="42">
        <v>11.903324287652644</v>
      </c>
      <c r="M25" s="42">
        <v>44.378358208955227</v>
      </c>
      <c r="N25" s="42">
        <v>0</v>
      </c>
      <c r="O25" s="42">
        <v>2.02</v>
      </c>
      <c r="P25" s="42">
        <v>0</v>
      </c>
      <c r="Q25" s="42">
        <v>34.175033921302578</v>
      </c>
      <c r="R25" s="42">
        <v>7.8879511533242885</v>
      </c>
      <c r="S25" s="42">
        <v>0.72279511533242891</v>
      </c>
      <c r="T25" s="42">
        <v>3.36</v>
      </c>
      <c r="U25" s="42">
        <v>1.26</v>
      </c>
      <c r="V25" s="42">
        <v>0</v>
      </c>
      <c r="W25" s="42">
        <v>5.5167706919945729</v>
      </c>
      <c r="X25" s="42">
        <v>0</v>
      </c>
      <c r="Y25" s="42">
        <v>256.40976933514241</v>
      </c>
      <c r="Z25" s="8" t="s">
        <v>68</v>
      </c>
    </row>
    <row r="26" spans="1:26" s="56" customFormat="1" x14ac:dyDescent="0.3">
      <c r="B26" s="11">
        <v>44197</v>
      </c>
      <c r="C26" s="56">
        <v>2</v>
      </c>
      <c r="E26" s="56" t="s">
        <v>74</v>
      </c>
      <c r="F26" s="42">
        <v>190.8</v>
      </c>
      <c r="G26" s="42">
        <v>26.630000000000003</v>
      </c>
      <c r="H26" s="42">
        <v>4.55</v>
      </c>
      <c r="I26" s="42">
        <v>0.19999999999999998</v>
      </c>
      <c r="J26" s="42">
        <v>0.30000000000000004</v>
      </c>
      <c r="K26" s="42">
        <v>0</v>
      </c>
      <c r="L26" s="42">
        <v>2.25</v>
      </c>
      <c r="M26" s="42">
        <v>5.8000000000000007</v>
      </c>
      <c r="N26" s="42">
        <v>0</v>
      </c>
      <c r="O26" s="42">
        <v>0.88000000000000012</v>
      </c>
      <c r="P26" s="42">
        <v>0</v>
      </c>
      <c r="Q26" s="42">
        <v>4.45</v>
      </c>
      <c r="R26" s="42">
        <v>1.4</v>
      </c>
      <c r="S26" s="42">
        <v>0</v>
      </c>
      <c r="T26" s="42">
        <v>5.95</v>
      </c>
      <c r="U26" s="42">
        <v>0.85</v>
      </c>
      <c r="V26" s="42">
        <v>0</v>
      </c>
      <c r="W26" s="42">
        <v>0</v>
      </c>
      <c r="X26" s="42">
        <v>0</v>
      </c>
      <c r="Y26" s="42">
        <v>164.17000000000002</v>
      </c>
      <c r="Z26" s="8" t="s">
        <v>68</v>
      </c>
    </row>
    <row r="27" spans="1:26" x14ac:dyDescent="0.3">
      <c r="H27" s="3"/>
      <c r="I27" s="3"/>
      <c r="J27" s="3"/>
      <c r="K27" s="3"/>
      <c r="L27" s="3"/>
      <c r="M27" s="3"/>
      <c r="N27" s="3"/>
      <c r="O27" s="3"/>
      <c r="P27" s="3"/>
      <c r="Q27" s="3"/>
      <c r="R27" s="3"/>
      <c r="S27" s="3"/>
      <c r="T27" s="3"/>
      <c r="U27" s="3"/>
      <c r="V27" s="3"/>
      <c r="W27" s="3"/>
      <c r="X27" s="3"/>
      <c r="Y27" s="3"/>
    </row>
    <row r="28" spans="1:26" x14ac:dyDescent="0.3">
      <c r="A28" t="s">
        <v>121</v>
      </c>
      <c r="H28" s="3"/>
      <c r="I28" s="3"/>
      <c r="J28" s="3"/>
      <c r="K28" s="3"/>
      <c r="L28" s="3"/>
      <c r="M28" s="3"/>
      <c r="N28" s="3"/>
      <c r="O28" s="3"/>
      <c r="P28" s="3"/>
      <c r="Q28" s="3"/>
      <c r="R28" s="3"/>
      <c r="S28" s="3"/>
      <c r="T28" s="3"/>
      <c r="U28" s="3"/>
      <c r="V28" s="3"/>
      <c r="W28" s="3"/>
      <c r="X28" s="3"/>
      <c r="Y28" s="3"/>
    </row>
    <row r="29" spans="1:26" x14ac:dyDescent="0.3">
      <c r="E29" s="56" t="s">
        <v>71</v>
      </c>
      <c r="F29" s="3">
        <f>F3</f>
        <v>86.8</v>
      </c>
      <c r="G29">
        <f>AVERAGEIF($C$3:$C$22,1,G3:G22)</f>
        <v>39.441428571428567</v>
      </c>
      <c r="H29">
        <f t="shared" ref="H29:Y29" si="0">AVERAGEIF($C$6:$C$26,1,H6:H26)</f>
        <v>12.179428183756544</v>
      </c>
      <c r="I29">
        <f t="shared" si="0"/>
        <v>3.1996428571428575</v>
      </c>
      <c r="J29">
        <f t="shared" si="0"/>
        <v>1.6982142857142861</v>
      </c>
      <c r="K29">
        <f t="shared" si="0"/>
        <v>0</v>
      </c>
      <c r="L29">
        <f t="shared" si="0"/>
        <v>3.6104748982360917</v>
      </c>
      <c r="M29">
        <f t="shared" si="0"/>
        <v>8.6383368869936028</v>
      </c>
      <c r="N29">
        <f t="shared" si="0"/>
        <v>0</v>
      </c>
      <c r="O29">
        <f t="shared" si="0"/>
        <v>1.4742857142857144</v>
      </c>
      <c r="P29">
        <f t="shared" si="0"/>
        <v>0.4107142857142857</v>
      </c>
      <c r="Q29">
        <f t="shared" si="0"/>
        <v>8.9178619887575117</v>
      </c>
      <c r="R29">
        <f t="shared" si="0"/>
        <v>1.9611358790463271</v>
      </c>
      <c r="S29">
        <f t="shared" si="0"/>
        <v>1.190399302190347</v>
      </c>
      <c r="T29">
        <f t="shared" si="0"/>
        <v>8.3914285714285715</v>
      </c>
      <c r="U29">
        <f t="shared" si="0"/>
        <v>2.3085714285714287</v>
      </c>
      <c r="V29">
        <f t="shared" si="0"/>
        <v>8.5714285714285715E-2</v>
      </c>
      <c r="W29">
        <f t="shared" si="0"/>
        <v>1.9195386702849391</v>
      </c>
      <c r="X29">
        <f t="shared" si="0"/>
        <v>0</v>
      </c>
      <c r="Y29">
        <f t="shared" si="0"/>
        <v>98.9942527621632</v>
      </c>
    </row>
    <row r="30" spans="1:26" x14ac:dyDescent="0.3">
      <c r="E30" s="56" t="s">
        <v>72</v>
      </c>
      <c r="F30" s="3">
        <f>F4</f>
        <v>79.05</v>
      </c>
      <c r="G30">
        <f>AVERAGEIF($C$6:$C$22,2,G6:G22)</f>
        <v>46.031666666666666</v>
      </c>
      <c r="H30">
        <f t="shared" ref="H30:Y30" si="1">AVERAGEIF($C$6:$C$26,2,H6:H26)</f>
        <v>6.4471428571428566</v>
      </c>
      <c r="I30">
        <f t="shared" si="1"/>
        <v>4.0200000000000005</v>
      </c>
      <c r="J30">
        <f t="shared" si="1"/>
        <v>1.5642857142857145</v>
      </c>
      <c r="K30">
        <f t="shared" si="1"/>
        <v>0.23714285714285713</v>
      </c>
      <c r="L30">
        <f t="shared" si="1"/>
        <v>1.4771428571428571</v>
      </c>
      <c r="M30">
        <f t="shared" si="1"/>
        <v>3.6428571428571428</v>
      </c>
      <c r="N30">
        <f t="shared" si="1"/>
        <v>0</v>
      </c>
      <c r="O30">
        <f t="shared" si="1"/>
        <v>1.0214285714285714</v>
      </c>
      <c r="P30">
        <f t="shared" si="1"/>
        <v>0.3457142857142857</v>
      </c>
      <c r="Q30">
        <f t="shared" si="1"/>
        <v>7.2085714285714291</v>
      </c>
      <c r="R30">
        <f t="shared" si="1"/>
        <v>0.75857142857142856</v>
      </c>
      <c r="S30">
        <f t="shared" si="1"/>
        <v>2.0128571428571429</v>
      </c>
      <c r="T30">
        <f t="shared" si="1"/>
        <v>8.08</v>
      </c>
      <c r="U30">
        <f t="shared" si="1"/>
        <v>2.8742857142857146</v>
      </c>
      <c r="V30">
        <f t="shared" si="1"/>
        <v>9.4285714285714292E-2</v>
      </c>
      <c r="W30">
        <f t="shared" si="1"/>
        <v>3.475714285714286</v>
      </c>
      <c r="X30">
        <f t="shared" si="1"/>
        <v>0</v>
      </c>
      <c r="Y30">
        <f t="shared" si="1"/>
        <v>65.22</v>
      </c>
    </row>
    <row r="31" spans="1:26" x14ac:dyDescent="0.3">
      <c r="D31" s="75"/>
      <c r="E31" s="73" t="s">
        <v>70</v>
      </c>
      <c r="F31" s="83">
        <f>F29-F30</f>
        <v>7.75</v>
      </c>
      <c r="G31" s="75"/>
    </row>
    <row r="32" spans="1:26" x14ac:dyDescent="0.3">
      <c r="D32" s="75"/>
      <c r="E32" s="73" t="s">
        <v>122</v>
      </c>
      <c r="F32" s="83">
        <f>SUM(F29:F30)-F31</f>
        <v>158.1</v>
      </c>
      <c r="G32" s="75"/>
      <c r="H32" s="3"/>
      <c r="I32" s="3"/>
      <c r="J32" s="3">
        <f>SUM(F29:F30)</f>
        <v>165.85</v>
      </c>
      <c r="K32" s="3"/>
      <c r="L32" s="3"/>
      <c r="M32" s="3"/>
      <c r="N32" s="3"/>
      <c r="O32" s="3"/>
      <c r="P32" s="3"/>
      <c r="Q32" s="3"/>
      <c r="R32" s="3"/>
      <c r="S32" s="3"/>
      <c r="T32" s="3"/>
      <c r="U32" s="3"/>
      <c r="V32" s="3"/>
      <c r="W32" s="3"/>
      <c r="X32" s="3"/>
      <c r="Y32" s="3"/>
    </row>
    <row r="33" spans="1:27" x14ac:dyDescent="0.3">
      <c r="D33" s="75" t="s">
        <v>123</v>
      </c>
      <c r="E33" s="73" t="s">
        <v>122</v>
      </c>
      <c r="F33" s="76">
        <f>((SUM(F29:F30)-F31)/SUM(F29:F30))*100</f>
        <v>95.327102803738313</v>
      </c>
      <c r="G33" s="75"/>
      <c r="H33" s="3"/>
      <c r="I33" s="3"/>
      <c r="J33" s="3"/>
      <c r="K33" s="3"/>
      <c r="L33" s="3"/>
      <c r="M33" s="3"/>
      <c r="N33" s="3"/>
      <c r="O33" s="3"/>
      <c r="P33" s="3"/>
      <c r="Q33" s="3"/>
      <c r="R33" s="3"/>
      <c r="S33" s="3"/>
      <c r="T33" s="3"/>
      <c r="U33" s="3"/>
      <c r="V33" s="3"/>
      <c r="W33" s="3"/>
      <c r="X33" s="3"/>
      <c r="Y33" s="3"/>
    </row>
    <row r="34" spans="1:27" x14ac:dyDescent="0.3">
      <c r="D34" s="75" t="s">
        <v>123</v>
      </c>
      <c r="E34" s="73" t="s">
        <v>70</v>
      </c>
      <c r="F34" s="76">
        <f>F31/SUM(F29:F30)*100</f>
        <v>4.6728971962616823</v>
      </c>
      <c r="G34" s="75"/>
      <c r="H34" s="3"/>
      <c r="I34" s="3"/>
      <c r="J34" s="3"/>
      <c r="K34" s="3"/>
      <c r="L34" s="3"/>
      <c r="M34" s="3"/>
      <c r="N34" s="3"/>
      <c r="O34" s="3"/>
      <c r="P34" s="3"/>
      <c r="Q34" s="3"/>
      <c r="R34" s="3"/>
      <c r="S34" s="3"/>
      <c r="T34" s="3"/>
      <c r="U34" s="3"/>
      <c r="V34" s="3"/>
      <c r="W34" s="3"/>
      <c r="X34" s="3"/>
      <c r="Y34" s="3"/>
    </row>
    <row r="35" spans="1:27" x14ac:dyDescent="0.3">
      <c r="A35" t="s">
        <v>120</v>
      </c>
      <c r="F35" s="82"/>
      <c r="H35" s="3"/>
      <c r="I35" s="3"/>
      <c r="J35" s="3"/>
      <c r="K35" s="3"/>
      <c r="L35" s="3"/>
      <c r="M35" s="3"/>
      <c r="N35" s="3"/>
      <c r="O35" s="3"/>
      <c r="P35" s="3"/>
      <c r="Q35" s="3"/>
      <c r="R35" s="3"/>
      <c r="S35" s="3"/>
      <c r="T35" s="3"/>
      <c r="U35" s="3"/>
      <c r="V35" s="3"/>
      <c r="W35" s="3"/>
      <c r="X35" s="3"/>
      <c r="Y35" s="3"/>
    </row>
    <row r="36" spans="1:27" x14ac:dyDescent="0.3">
      <c r="H36" s="3"/>
      <c r="I36" s="3"/>
      <c r="J36" s="3"/>
      <c r="K36" s="3"/>
      <c r="L36" s="3"/>
      <c r="M36" s="3"/>
      <c r="N36" s="3"/>
      <c r="O36" s="3"/>
      <c r="P36" s="3"/>
      <c r="Q36" s="3"/>
      <c r="R36" s="3"/>
      <c r="S36" s="3"/>
      <c r="T36" s="3"/>
      <c r="U36" s="3"/>
      <c r="V36" s="3"/>
      <c r="W36" s="3"/>
      <c r="X36" s="3"/>
      <c r="Y36" s="3"/>
    </row>
    <row r="37" spans="1:27" s="56" customFormat="1" ht="15" customHeight="1" x14ac:dyDescent="0.3">
      <c r="B37" s="11">
        <v>44187</v>
      </c>
      <c r="C37" s="42"/>
      <c r="E37" s="56" t="s">
        <v>75</v>
      </c>
      <c r="F37" s="42">
        <v>165.85</v>
      </c>
      <c r="G37" s="42">
        <v>76.850000000000009</v>
      </c>
      <c r="H37" s="42">
        <v>20.399999999999999</v>
      </c>
      <c r="I37" s="42">
        <v>5.6999999999999993</v>
      </c>
      <c r="J37" s="42">
        <v>5.95</v>
      </c>
      <c r="K37" s="42">
        <v>0</v>
      </c>
      <c r="L37" s="42">
        <v>2.75</v>
      </c>
      <c r="M37" s="42">
        <v>0.75</v>
      </c>
      <c r="N37" s="42">
        <v>0</v>
      </c>
      <c r="O37" s="42">
        <v>2.35</v>
      </c>
      <c r="P37" s="42">
        <v>1.75</v>
      </c>
      <c r="Q37" s="42">
        <v>6.6</v>
      </c>
      <c r="R37" s="42">
        <v>2.65</v>
      </c>
      <c r="S37" s="42">
        <v>0</v>
      </c>
      <c r="T37" s="42">
        <v>20.8</v>
      </c>
      <c r="U37" s="42">
        <v>4.6999999999999993</v>
      </c>
      <c r="V37" s="42">
        <v>0</v>
      </c>
      <c r="W37" s="42">
        <v>2.4500000000000002</v>
      </c>
      <c r="X37" s="42">
        <v>0</v>
      </c>
      <c r="Y37" s="42">
        <v>89</v>
      </c>
      <c r="Z37" s="8" t="s">
        <v>64</v>
      </c>
      <c r="AA37" s="66"/>
    </row>
    <row r="38" spans="1:27" x14ac:dyDescent="0.3">
      <c r="E38" t="s">
        <v>92</v>
      </c>
      <c r="F38" s="3">
        <f t="shared" ref="F38:Y38" si="2">AVERAGE(F37:F37)</f>
        <v>165.85</v>
      </c>
      <c r="G38" s="3">
        <f t="shared" si="2"/>
        <v>76.850000000000009</v>
      </c>
      <c r="H38" s="3">
        <f t="shared" si="2"/>
        <v>20.399999999999999</v>
      </c>
      <c r="I38" s="3">
        <f t="shared" si="2"/>
        <v>5.6999999999999993</v>
      </c>
      <c r="J38" s="3">
        <f t="shared" si="2"/>
        <v>5.95</v>
      </c>
      <c r="K38" s="3">
        <f t="shared" si="2"/>
        <v>0</v>
      </c>
      <c r="L38" s="3">
        <f t="shared" si="2"/>
        <v>2.75</v>
      </c>
      <c r="M38" s="3">
        <f t="shared" si="2"/>
        <v>0.75</v>
      </c>
      <c r="N38" s="3">
        <f t="shared" si="2"/>
        <v>0</v>
      </c>
      <c r="O38" s="3">
        <f t="shared" si="2"/>
        <v>2.35</v>
      </c>
      <c r="P38" s="3">
        <f t="shared" si="2"/>
        <v>1.75</v>
      </c>
      <c r="Q38" s="3">
        <f t="shared" si="2"/>
        <v>6.6</v>
      </c>
      <c r="R38" s="3">
        <f t="shared" si="2"/>
        <v>2.65</v>
      </c>
      <c r="S38" s="3">
        <f t="shared" si="2"/>
        <v>0</v>
      </c>
      <c r="T38" s="3">
        <f t="shared" si="2"/>
        <v>20.8</v>
      </c>
      <c r="U38" s="3">
        <f t="shared" si="2"/>
        <v>4.6999999999999993</v>
      </c>
      <c r="V38" s="3">
        <f t="shared" si="2"/>
        <v>0</v>
      </c>
      <c r="W38" s="3">
        <f t="shared" si="2"/>
        <v>2.4500000000000002</v>
      </c>
      <c r="X38" s="3">
        <f t="shared" si="2"/>
        <v>0</v>
      </c>
      <c r="Y38" s="3">
        <f t="shared" si="2"/>
        <v>89</v>
      </c>
    </row>
    <row r="39" spans="1:27" x14ac:dyDescent="0.3">
      <c r="H39" s="3"/>
      <c r="I39" s="3"/>
      <c r="J39" s="3"/>
      <c r="K39" s="3"/>
      <c r="L39" s="3"/>
      <c r="M39" s="3"/>
      <c r="N39" s="3"/>
      <c r="O39" s="3"/>
      <c r="P39" s="3"/>
      <c r="Q39" s="3"/>
      <c r="R39" s="3"/>
      <c r="S39" s="3"/>
      <c r="T39" s="3"/>
      <c r="U39" s="3"/>
      <c r="V39" s="3"/>
      <c r="W39" s="3"/>
      <c r="X39" s="3"/>
      <c r="Y39" s="3"/>
    </row>
    <row r="40" spans="1:27" s="56" customFormat="1" x14ac:dyDescent="0.3">
      <c r="B40" s="11">
        <v>44188</v>
      </c>
      <c r="C40" s="63"/>
      <c r="E40" s="56" t="s">
        <v>75</v>
      </c>
      <c r="F40" s="42">
        <v>212.7</v>
      </c>
      <c r="G40" s="42">
        <v>90.300000000000011</v>
      </c>
      <c r="H40" s="42">
        <v>22.950000000000003</v>
      </c>
      <c r="I40" s="42">
        <v>7.8000000000000007</v>
      </c>
      <c r="J40" s="42">
        <v>3.1999999999999997</v>
      </c>
      <c r="K40" s="42">
        <v>0</v>
      </c>
      <c r="L40" s="42">
        <v>10.199999999999999</v>
      </c>
      <c r="M40" s="42">
        <v>5.0999999999999996</v>
      </c>
      <c r="N40" s="42">
        <v>0</v>
      </c>
      <c r="O40" s="42">
        <v>2.0750000000000002</v>
      </c>
      <c r="P40" s="42">
        <v>1.175</v>
      </c>
      <c r="Q40" s="42">
        <v>11</v>
      </c>
      <c r="R40" s="42">
        <v>1.85</v>
      </c>
      <c r="S40" s="42">
        <v>0</v>
      </c>
      <c r="T40" s="42">
        <v>17.75</v>
      </c>
      <c r="U40" s="42">
        <v>4.1500000000000004</v>
      </c>
      <c r="V40" s="42">
        <v>0.6</v>
      </c>
      <c r="W40" s="42">
        <v>2.4500000000000002</v>
      </c>
      <c r="X40" s="42">
        <v>0</v>
      </c>
      <c r="Y40" s="42">
        <v>122.39999999999999</v>
      </c>
      <c r="Z40" s="70" t="s">
        <v>66</v>
      </c>
      <c r="AA40" s="66"/>
    </row>
    <row r="41" spans="1:27" s="56" customFormat="1" x14ac:dyDescent="0.3">
      <c r="B41" s="11">
        <v>44189</v>
      </c>
      <c r="C41" s="63"/>
      <c r="E41" s="56" t="s">
        <v>75</v>
      </c>
      <c r="F41" s="42">
        <v>111</v>
      </c>
      <c r="G41" s="42">
        <v>64.349999999999994</v>
      </c>
      <c r="H41" s="42">
        <v>9.02</v>
      </c>
      <c r="I41" s="42">
        <v>4.99</v>
      </c>
      <c r="J41" s="42">
        <v>1.39</v>
      </c>
      <c r="K41" s="42">
        <v>0</v>
      </c>
      <c r="L41" s="42">
        <v>0.49</v>
      </c>
      <c r="M41" s="42">
        <v>6.1400000000000006</v>
      </c>
      <c r="N41" s="42">
        <v>0</v>
      </c>
      <c r="O41" s="42">
        <v>0.9</v>
      </c>
      <c r="P41" s="42">
        <v>0</v>
      </c>
      <c r="Q41" s="42">
        <v>18.649999999999999</v>
      </c>
      <c r="R41" s="42">
        <v>0.53</v>
      </c>
      <c r="S41" s="42">
        <v>0.1</v>
      </c>
      <c r="T41" s="42">
        <v>17.159999999999997</v>
      </c>
      <c r="U41" s="42">
        <v>4.32</v>
      </c>
      <c r="V41" s="42">
        <v>0.66</v>
      </c>
      <c r="W41" s="42">
        <v>0</v>
      </c>
      <c r="X41" s="42">
        <v>0</v>
      </c>
      <c r="Y41" s="42">
        <v>46.65</v>
      </c>
      <c r="Z41" s="8" t="s">
        <v>67</v>
      </c>
    </row>
    <row r="42" spans="1:27" s="56" customFormat="1" x14ac:dyDescent="0.3">
      <c r="B42" s="11">
        <v>44191</v>
      </c>
      <c r="C42" s="63"/>
      <c r="E42" s="56" t="s">
        <v>75</v>
      </c>
      <c r="F42" s="42">
        <v>276.77999999999997</v>
      </c>
      <c r="G42" s="42">
        <v>117.28</v>
      </c>
      <c r="H42" s="42">
        <v>22.61</v>
      </c>
      <c r="I42" s="42">
        <v>16.244999999999997</v>
      </c>
      <c r="J42" s="42">
        <v>5.625</v>
      </c>
      <c r="K42" s="42">
        <v>0</v>
      </c>
      <c r="L42" s="42">
        <v>2</v>
      </c>
      <c r="M42" s="42">
        <v>4.7</v>
      </c>
      <c r="N42" s="42">
        <v>0</v>
      </c>
      <c r="O42" s="42">
        <v>0.2</v>
      </c>
      <c r="P42" s="42">
        <v>2</v>
      </c>
      <c r="Q42" s="42">
        <v>7.0399999999999991</v>
      </c>
      <c r="R42" s="42">
        <v>1.7599999999999998</v>
      </c>
      <c r="S42" s="42">
        <v>10.64</v>
      </c>
      <c r="T42" s="42">
        <v>28.339999999999996</v>
      </c>
      <c r="U42" s="42">
        <v>10.77</v>
      </c>
      <c r="V42" s="42">
        <v>0</v>
      </c>
      <c r="W42" s="42">
        <v>5.3500000000000005</v>
      </c>
      <c r="X42" s="42">
        <v>0</v>
      </c>
      <c r="Y42" s="42">
        <v>159.5</v>
      </c>
      <c r="Z42" s="8" t="s">
        <v>65</v>
      </c>
    </row>
    <row r="43" spans="1:27" s="56" customFormat="1" x14ac:dyDescent="0.3">
      <c r="B43" s="11">
        <v>44192</v>
      </c>
      <c r="C43" s="63"/>
      <c r="E43" s="56" t="s">
        <v>75</v>
      </c>
      <c r="F43" s="42">
        <v>133.73500000000001</v>
      </c>
      <c r="G43" s="42">
        <v>49.234999999999999</v>
      </c>
      <c r="H43" s="42">
        <v>9.7999999999999989</v>
      </c>
      <c r="I43" s="42">
        <v>4</v>
      </c>
      <c r="J43" s="42">
        <v>2.38</v>
      </c>
      <c r="K43" s="42">
        <v>0</v>
      </c>
      <c r="L43" s="42">
        <v>1.33</v>
      </c>
      <c r="M43" s="42">
        <v>4.5299999999999994</v>
      </c>
      <c r="N43" s="42">
        <v>0</v>
      </c>
      <c r="O43" s="42">
        <v>3.125</v>
      </c>
      <c r="P43" s="42">
        <v>0</v>
      </c>
      <c r="Q43" s="42">
        <v>5.5500000000000007</v>
      </c>
      <c r="R43" s="42">
        <v>2.65</v>
      </c>
      <c r="S43" s="42">
        <v>0.78</v>
      </c>
      <c r="T43" s="42">
        <v>8.3000000000000007</v>
      </c>
      <c r="U43" s="42">
        <v>3.64</v>
      </c>
      <c r="V43" s="42">
        <v>0</v>
      </c>
      <c r="W43" s="42">
        <v>3.15</v>
      </c>
      <c r="X43" s="42">
        <v>0</v>
      </c>
      <c r="Y43" s="42">
        <v>84.5</v>
      </c>
      <c r="Z43" s="8" t="s">
        <v>66</v>
      </c>
    </row>
    <row r="44" spans="1:27" s="56" customFormat="1" x14ac:dyDescent="0.3">
      <c r="B44" s="11">
        <v>44193</v>
      </c>
      <c r="C44" s="63"/>
      <c r="E44" s="56" t="s">
        <v>75</v>
      </c>
      <c r="F44" s="42">
        <v>259.45500000000004</v>
      </c>
      <c r="G44" s="42">
        <v>102.50500000000002</v>
      </c>
      <c r="H44" s="42">
        <v>17.86</v>
      </c>
      <c r="I44" s="42">
        <v>8.6125000000000007</v>
      </c>
      <c r="J44" s="42">
        <v>3.5524999999999993</v>
      </c>
      <c r="K44" s="42">
        <v>0</v>
      </c>
      <c r="L44" s="42">
        <v>1.9600000000000002</v>
      </c>
      <c r="M44" s="42">
        <v>8.93</v>
      </c>
      <c r="N44" s="42">
        <v>0</v>
      </c>
      <c r="O44" s="42">
        <v>3.9499999999999997</v>
      </c>
      <c r="P44" s="42">
        <v>1.3199999999999998</v>
      </c>
      <c r="Q44" s="42">
        <v>20.919999999999998</v>
      </c>
      <c r="R44" s="42">
        <v>2.33</v>
      </c>
      <c r="S44" s="42">
        <v>3.53</v>
      </c>
      <c r="T44" s="42">
        <v>17.100000000000001</v>
      </c>
      <c r="U44" s="42">
        <v>7.9399999999999995</v>
      </c>
      <c r="V44" s="42">
        <v>0</v>
      </c>
      <c r="W44" s="42">
        <v>4.5</v>
      </c>
      <c r="X44" s="42">
        <v>0</v>
      </c>
      <c r="Y44" s="42">
        <v>156.95000000000002</v>
      </c>
      <c r="Z44" s="8" t="s">
        <v>66</v>
      </c>
      <c r="AA44" s="42"/>
    </row>
    <row r="45" spans="1:27" s="56" customFormat="1" x14ac:dyDescent="0.3">
      <c r="B45" s="11">
        <v>44194</v>
      </c>
      <c r="C45" s="63"/>
      <c r="E45" s="56" t="s">
        <v>75</v>
      </c>
      <c r="F45" s="42">
        <v>240.18</v>
      </c>
      <c r="G45" s="42">
        <v>93.710000000000008</v>
      </c>
      <c r="H45" s="42">
        <v>8.5499999999999989</v>
      </c>
      <c r="I45" s="42">
        <v>6.0500000000000007</v>
      </c>
      <c r="J45" s="42">
        <v>4.59</v>
      </c>
      <c r="K45" s="42">
        <v>1.66</v>
      </c>
      <c r="L45" s="42">
        <v>5.4799999999999995</v>
      </c>
      <c r="M45" s="42">
        <v>6.39</v>
      </c>
      <c r="N45" s="42">
        <v>0</v>
      </c>
      <c r="O45" s="42">
        <v>4.3199999999999994</v>
      </c>
      <c r="P45" s="42">
        <v>0.8</v>
      </c>
      <c r="Q45" s="42">
        <v>11.100000000000001</v>
      </c>
      <c r="R45" s="42">
        <v>0.63</v>
      </c>
      <c r="S45" s="42">
        <v>6.65</v>
      </c>
      <c r="T45" s="42">
        <v>17.34</v>
      </c>
      <c r="U45" s="42">
        <v>3.3499999999999996</v>
      </c>
      <c r="V45" s="42">
        <v>0</v>
      </c>
      <c r="W45" s="42">
        <v>16.8</v>
      </c>
      <c r="X45" s="42">
        <v>0</v>
      </c>
      <c r="Y45" s="42">
        <v>158.91999999999996</v>
      </c>
      <c r="Z45" s="8" t="s">
        <v>66</v>
      </c>
    </row>
    <row r="46" spans="1:27" x14ac:dyDescent="0.3">
      <c r="E46" s="56" t="s">
        <v>92</v>
      </c>
      <c r="F46" s="3">
        <f>AVERAGE(F40:F45)</f>
        <v>205.64166666666668</v>
      </c>
      <c r="G46" s="3">
        <f t="shared" ref="G46:Y46" si="3">AVERAGE(G40:G45)</f>
        <v>86.230000000000018</v>
      </c>
      <c r="H46" s="3">
        <f t="shared" si="3"/>
        <v>15.131666666666666</v>
      </c>
      <c r="I46" s="3">
        <f t="shared" si="3"/>
        <v>7.9495833333333321</v>
      </c>
      <c r="J46" s="3">
        <f t="shared" si="3"/>
        <v>3.4562499999999994</v>
      </c>
      <c r="K46" s="3">
        <f t="shared" si="3"/>
        <v>0.27666666666666667</v>
      </c>
      <c r="L46" s="3">
        <f t="shared" si="3"/>
        <v>3.5766666666666667</v>
      </c>
      <c r="M46" s="3">
        <f t="shared" si="3"/>
        <v>5.9649999999999999</v>
      </c>
      <c r="N46" s="3">
        <f t="shared" si="3"/>
        <v>0</v>
      </c>
      <c r="O46" s="3">
        <f t="shared" si="3"/>
        <v>2.4283333333333332</v>
      </c>
      <c r="P46" s="3">
        <f t="shared" si="3"/>
        <v>0.88249999999999984</v>
      </c>
      <c r="Q46" s="3">
        <f t="shared" si="3"/>
        <v>12.376666666666665</v>
      </c>
      <c r="R46" s="3">
        <f t="shared" si="3"/>
        <v>1.625</v>
      </c>
      <c r="S46" s="3">
        <f t="shared" si="3"/>
        <v>3.6166666666666667</v>
      </c>
      <c r="T46" s="3">
        <f t="shared" si="3"/>
        <v>17.665000000000003</v>
      </c>
      <c r="U46" s="3">
        <f t="shared" si="3"/>
        <v>5.6950000000000003</v>
      </c>
      <c r="V46" s="3">
        <f t="shared" si="3"/>
        <v>0.21</v>
      </c>
      <c r="W46" s="3">
        <f t="shared" si="3"/>
        <v>5.375</v>
      </c>
      <c r="X46" s="3">
        <f t="shared" si="3"/>
        <v>0</v>
      </c>
      <c r="Y46" s="3">
        <f t="shared" si="3"/>
        <v>121.48666666666666</v>
      </c>
    </row>
    <row r="47" spans="1:27" x14ac:dyDescent="0.3">
      <c r="H47" s="3"/>
      <c r="I47" s="3"/>
      <c r="J47" s="3"/>
      <c r="K47" s="3"/>
      <c r="L47" s="3"/>
      <c r="M47" s="3"/>
      <c r="N47" s="3"/>
      <c r="O47" s="3"/>
      <c r="P47" s="3"/>
      <c r="Q47" s="3"/>
      <c r="R47" s="3"/>
      <c r="S47" s="3"/>
      <c r="T47" s="3"/>
      <c r="U47" s="3"/>
      <c r="V47" s="3"/>
      <c r="W47" s="3"/>
      <c r="X47" s="3"/>
      <c r="Y47" s="3"/>
    </row>
    <row r="48" spans="1:27" x14ac:dyDescent="0.3">
      <c r="E48" s="73" t="s">
        <v>69</v>
      </c>
      <c r="F48" s="83">
        <f>F46-F38</f>
        <v>39.791666666666686</v>
      </c>
      <c r="G48" s="74"/>
      <c r="H48" s="3"/>
      <c r="I48" s="3">
        <f>SUM(F48:F50)</f>
        <v>205.64166666666668</v>
      </c>
      <c r="J48" s="3"/>
      <c r="K48" s="3"/>
      <c r="L48" s="3"/>
      <c r="M48" s="3"/>
      <c r="N48" s="3"/>
      <c r="O48" s="3"/>
      <c r="P48" s="3"/>
      <c r="Q48" s="3"/>
      <c r="R48" s="3"/>
      <c r="S48" s="3"/>
      <c r="T48" s="3"/>
      <c r="U48" s="3"/>
      <c r="V48" s="3"/>
      <c r="W48" s="3"/>
      <c r="X48" s="3"/>
      <c r="Y48" s="3"/>
    </row>
    <row r="49" spans="2:25" x14ac:dyDescent="0.3">
      <c r="E49" s="73" t="s">
        <v>122</v>
      </c>
      <c r="F49" s="83">
        <f>(F46-F48)*F33/100</f>
        <v>158.1</v>
      </c>
      <c r="G49" s="75"/>
      <c r="H49" s="3"/>
      <c r="I49" s="3">
        <f>F38-F50</f>
        <v>158.1</v>
      </c>
      <c r="J49" s="3"/>
      <c r="K49" s="3"/>
      <c r="L49" s="3"/>
      <c r="M49" s="3"/>
      <c r="N49" s="3"/>
      <c r="O49" s="3"/>
      <c r="P49" s="3"/>
      <c r="Q49" s="3"/>
      <c r="R49" s="3"/>
      <c r="S49" s="3"/>
      <c r="T49" s="3"/>
      <c r="U49" s="3"/>
      <c r="V49" s="3"/>
      <c r="W49" s="3"/>
      <c r="X49" s="3"/>
      <c r="Y49" s="3"/>
    </row>
    <row r="50" spans="2:25" x14ac:dyDescent="0.3">
      <c r="E50" s="73" t="s">
        <v>70</v>
      </c>
      <c r="F50" s="76">
        <f>(F46-F48)*F34/100</f>
        <v>7.75</v>
      </c>
      <c r="G50" s="75"/>
      <c r="H50" s="3"/>
      <c r="I50" s="3">
        <f>F38*F33/100</f>
        <v>158.1</v>
      </c>
      <c r="J50" s="3"/>
      <c r="K50" s="3"/>
      <c r="L50" s="3"/>
      <c r="M50" s="3"/>
      <c r="N50" s="3"/>
      <c r="O50" s="3"/>
      <c r="P50" s="3"/>
      <c r="Q50" s="3"/>
      <c r="R50" s="3"/>
      <c r="S50" s="3"/>
      <c r="T50" s="3"/>
      <c r="U50" s="3"/>
      <c r="V50" s="3"/>
      <c r="W50" s="3"/>
      <c r="X50" s="3"/>
      <c r="Y50" s="3"/>
    </row>
    <row r="51" spans="2:25" x14ac:dyDescent="0.3">
      <c r="D51" t="s">
        <v>123</v>
      </c>
      <c r="E51" s="73" t="s">
        <v>69</v>
      </c>
      <c r="F51" s="76">
        <f>F48/F46*100</f>
        <v>19.350002026178231</v>
      </c>
      <c r="G51" s="76"/>
      <c r="H51" s="3"/>
      <c r="I51" s="3"/>
      <c r="J51" s="3"/>
      <c r="K51" s="3"/>
      <c r="L51" s="3"/>
      <c r="M51" s="3"/>
      <c r="N51" s="3"/>
      <c r="O51" s="3"/>
      <c r="P51" s="3"/>
      <c r="Q51" s="3"/>
      <c r="R51" s="3"/>
      <c r="S51" s="3"/>
      <c r="T51" s="3"/>
      <c r="U51" s="3"/>
      <c r="V51" s="3"/>
      <c r="W51" s="3"/>
      <c r="X51" s="3"/>
      <c r="Y51" s="3"/>
    </row>
    <row r="52" spans="2:25" x14ac:dyDescent="0.3">
      <c r="D52" t="s">
        <v>123</v>
      </c>
      <c r="E52" s="73" t="s">
        <v>122</v>
      </c>
      <c r="F52" s="76">
        <f>F49/F46*100</f>
        <v>76.881306479717949</v>
      </c>
      <c r="G52" s="76"/>
      <c r="H52" s="3"/>
      <c r="I52" s="3"/>
      <c r="J52" s="3"/>
      <c r="K52" s="3"/>
      <c r="L52" s="3"/>
      <c r="M52" s="3"/>
      <c r="N52" s="3"/>
      <c r="O52" s="3"/>
      <c r="P52" s="3"/>
      <c r="Q52" s="3"/>
      <c r="R52" s="3"/>
      <c r="S52" s="3"/>
      <c r="T52" s="3"/>
      <c r="U52" s="3"/>
      <c r="V52" s="3"/>
      <c r="W52" s="3"/>
      <c r="X52" s="3"/>
      <c r="Y52" s="3"/>
    </row>
    <row r="53" spans="2:25" x14ac:dyDescent="0.3">
      <c r="D53" t="s">
        <v>123</v>
      </c>
      <c r="E53" s="73" t="s">
        <v>70</v>
      </c>
      <c r="F53" s="76">
        <f>F50/F46*100</f>
        <v>3.7686914941038214</v>
      </c>
      <c r="G53" s="76"/>
      <c r="H53" s="3"/>
      <c r="I53" s="3"/>
      <c r="J53" s="3"/>
      <c r="K53" s="3"/>
      <c r="L53" s="157"/>
      <c r="M53" s="157"/>
      <c r="N53" s="157"/>
      <c r="O53" s="157"/>
      <c r="P53" s="3"/>
      <c r="Q53" s="3"/>
      <c r="R53" s="3"/>
      <c r="S53" s="3"/>
      <c r="T53" s="3"/>
      <c r="U53" s="3"/>
      <c r="V53" s="3"/>
      <c r="W53" s="3"/>
      <c r="X53" s="3"/>
      <c r="Y53" s="3"/>
    </row>
    <row r="54" spans="2:25" x14ac:dyDescent="0.3">
      <c r="F54" s="82"/>
      <c r="H54" s="3"/>
      <c r="I54" s="3"/>
      <c r="J54" s="3"/>
      <c r="L54" s="3"/>
      <c r="M54" s="3"/>
      <c r="N54" s="3"/>
      <c r="O54" s="3"/>
      <c r="P54" s="3"/>
      <c r="Q54" s="3"/>
      <c r="R54" s="3"/>
      <c r="S54" s="3"/>
      <c r="T54" s="3"/>
      <c r="U54" s="3"/>
      <c r="V54" s="3"/>
      <c r="W54" s="3"/>
      <c r="X54" s="3"/>
      <c r="Y54" s="3"/>
    </row>
    <row r="55" spans="2:25" x14ac:dyDescent="0.3">
      <c r="H55" s="3"/>
      <c r="I55" s="3"/>
      <c r="J55" s="3"/>
      <c r="K55" s="1"/>
      <c r="L55" s="6"/>
      <c r="M55" s="82"/>
      <c r="N55" s="6"/>
      <c r="O55" s="82"/>
      <c r="P55" s="3"/>
      <c r="Q55" s="3"/>
      <c r="R55" s="3"/>
      <c r="S55" s="3"/>
      <c r="T55" s="3"/>
      <c r="U55" s="3"/>
      <c r="V55" s="3"/>
      <c r="W55" s="3"/>
      <c r="X55" s="3"/>
      <c r="Y55" s="3"/>
    </row>
    <row r="56" spans="2:25" x14ac:dyDescent="0.3">
      <c r="B56" s="11" t="s">
        <v>27</v>
      </c>
    </row>
    <row r="57" spans="2:25" x14ac:dyDescent="0.3">
      <c r="B57" s="11" t="s">
        <v>16</v>
      </c>
      <c r="I57" t="s">
        <v>39</v>
      </c>
      <c r="K57" t="s">
        <v>46</v>
      </c>
    </row>
    <row r="58" spans="2:25" x14ac:dyDescent="0.3">
      <c r="B58" s="6">
        <v>0</v>
      </c>
      <c r="C58" t="s">
        <v>37</v>
      </c>
      <c r="I58">
        <v>1</v>
      </c>
      <c r="J58" t="s">
        <v>40</v>
      </c>
      <c r="K58">
        <v>0</v>
      </c>
      <c r="L58" t="s">
        <v>47</v>
      </c>
    </row>
    <row r="59" spans="2:25" x14ac:dyDescent="0.3">
      <c r="B59" s="6">
        <v>1</v>
      </c>
      <c r="C59" t="s">
        <v>28</v>
      </c>
      <c r="I59">
        <v>2</v>
      </c>
      <c r="J59" t="s">
        <v>41</v>
      </c>
      <c r="K59">
        <v>1</v>
      </c>
      <c r="L59" t="s">
        <v>48</v>
      </c>
    </row>
    <row r="60" spans="2:25" x14ac:dyDescent="0.3">
      <c r="B60" s="6">
        <v>2</v>
      </c>
      <c r="C60" t="s">
        <v>29</v>
      </c>
      <c r="I60">
        <v>3</v>
      </c>
      <c r="J60" t="s">
        <v>42</v>
      </c>
      <c r="K60">
        <v>2</v>
      </c>
      <c r="L60" t="s">
        <v>49</v>
      </c>
    </row>
    <row r="61" spans="2:25" x14ac:dyDescent="0.3">
      <c r="I61">
        <v>4</v>
      </c>
      <c r="J61" t="s">
        <v>43</v>
      </c>
    </row>
    <row r="62" spans="2:25" x14ac:dyDescent="0.3">
      <c r="B62" s="11" t="s">
        <v>30</v>
      </c>
      <c r="I62">
        <v>5</v>
      </c>
      <c r="J62" t="s">
        <v>44</v>
      </c>
    </row>
    <row r="63" spans="2:25" x14ac:dyDescent="0.3">
      <c r="B63" s="6">
        <v>1</v>
      </c>
      <c r="C63" t="s">
        <v>32</v>
      </c>
      <c r="I63">
        <v>6</v>
      </c>
      <c r="J63" t="s">
        <v>45</v>
      </c>
    </row>
    <row r="64" spans="2:25" x14ac:dyDescent="0.3">
      <c r="B64" s="6">
        <v>2</v>
      </c>
      <c r="C64" t="s">
        <v>33</v>
      </c>
      <c r="I64">
        <v>7</v>
      </c>
      <c r="J64" t="s">
        <v>40</v>
      </c>
    </row>
    <row r="65" spans="2:25" x14ac:dyDescent="0.3">
      <c r="B65" s="6">
        <v>3</v>
      </c>
      <c r="C65" t="s">
        <v>34</v>
      </c>
    </row>
    <row r="66" spans="2:25" x14ac:dyDescent="0.3">
      <c r="B66" s="6">
        <v>4</v>
      </c>
      <c r="C66" t="s">
        <v>35</v>
      </c>
    </row>
    <row r="67" spans="2:25" x14ac:dyDescent="0.3">
      <c r="B67" s="6">
        <v>5</v>
      </c>
      <c r="C67" t="s">
        <v>31</v>
      </c>
    </row>
    <row r="68" spans="2:25" x14ac:dyDescent="0.3">
      <c r="B68" s="6">
        <v>6</v>
      </c>
      <c r="C68" t="s">
        <v>36</v>
      </c>
    </row>
    <row r="70" spans="2:25" x14ac:dyDescent="0.3">
      <c r="H70" s="3"/>
      <c r="I70" s="3"/>
      <c r="J70" s="3"/>
      <c r="K70" s="3"/>
      <c r="L70" s="3"/>
      <c r="M70" s="3"/>
      <c r="N70" s="3"/>
      <c r="O70" s="3"/>
      <c r="P70" s="3"/>
      <c r="Q70" s="3"/>
      <c r="R70" s="3"/>
      <c r="S70" s="3"/>
      <c r="T70" s="3"/>
      <c r="U70" s="3"/>
      <c r="V70" s="3"/>
      <c r="W70" s="3"/>
      <c r="X70" s="3"/>
      <c r="Y70" s="3"/>
    </row>
    <row r="71" spans="2:25" x14ac:dyDescent="0.3">
      <c r="H71" s="3"/>
      <c r="I71" s="3"/>
      <c r="J71" s="3"/>
      <c r="K71" s="3"/>
      <c r="L71" s="3"/>
      <c r="M71" s="3"/>
      <c r="N71" s="3"/>
      <c r="O71" s="3"/>
      <c r="P71" s="3"/>
      <c r="Q71" s="3"/>
      <c r="R71" s="3"/>
      <c r="S71" s="3"/>
      <c r="T71" s="3"/>
      <c r="U71" s="3"/>
      <c r="V71" s="3"/>
      <c r="W71" s="3"/>
      <c r="X71" s="3"/>
      <c r="Y71" s="3"/>
    </row>
    <row r="72" spans="2:25" x14ac:dyDescent="0.3">
      <c r="H72" s="3"/>
      <c r="I72" s="3"/>
      <c r="J72" s="3"/>
      <c r="K72" s="3"/>
      <c r="L72" s="3"/>
      <c r="M72" s="3"/>
      <c r="N72" s="3"/>
      <c r="O72" s="3"/>
      <c r="P72" s="3"/>
      <c r="Q72" s="3"/>
      <c r="R72" s="3"/>
      <c r="S72" s="3"/>
      <c r="T72" s="3"/>
      <c r="U72" s="3"/>
      <c r="V72" s="3"/>
      <c r="W72" s="3"/>
      <c r="X72" s="3"/>
      <c r="Y72" s="3"/>
    </row>
    <row r="73" spans="2:25" x14ac:dyDescent="0.3">
      <c r="H73" s="3"/>
      <c r="I73" s="3"/>
      <c r="J73" s="3"/>
      <c r="K73" s="3"/>
      <c r="L73" s="3"/>
      <c r="M73" s="3"/>
      <c r="N73" s="3"/>
      <c r="O73" s="3"/>
      <c r="P73" s="3"/>
      <c r="Q73" s="3"/>
      <c r="R73" s="3"/>
      <c r="S73" s="3"/>
      <c r="T73" s="3"/>
      <c r="U73" s="3"/>
      <c r="V73" s="3"/>
      <c r="W73" s="3"/>
      <c r="X73" s="3"/>
      <c r="Y73" s="3"/>
    </row>
    <row r="74" spans="2:25" x14ac:dyDescent="0.3">
      <c r="H74" s="3"/>
      <c r="I74" s="3"/>
      <c r="J74" s="3"/>
      <c r="K74" s="3"/>
      <c r="L74" s="3"/>
      <c r="M74" s="3"/>
      <c r="N74" s="3"/>
      <c r="O74" s="3"/>
      <c r="P74" s="3"/>
      <c r="Q74" s="3"/>
      <c r="R74" s="3"/>
      <c r="S74" s="3"/>
      <c r="T74" s="3"/>
      <c r="U74" s="3"/>
      <c r="V74" s="3"/>
      <c r="W74" s="3"/>
      <c r="X74" s="3"/>
      <c r="Y74" s="3"/>
    </row>
    <row r="75" spans="2:25" x14ac:dyDescent="0.3">
      <c r="H75" s="3"/>
      <c r="I75" s="3"/>
      <c r="J75" s="3"/>
      <c r="K75" s="3"/>
      <c r="L75" s="3"/>
      <c r="M75" s="3"/>
      <c r="N75" s="3"/>
      <c r="O75" s="3"/>
      <c r="P75" s="3"/>
      <c r="Q75" s="3"/>
      <c r="R75" s="3"/>
      <c r="S75" s="3"/>
      <c r="T75" s="3"/>
      <c r="U75" s="3"/>
      <c r="V75" s="3"/>
      <c r="W75" s="3"/>
      <c r="X75" s="3"/>
      <c r="Y75" s="3"/>
    </row>
    <row r="76" spans="2:25" x14ac:dyDescent="0.3">
      <c r="H76" s="3"/>
      <c r="I76" s="3"/>
      <c r="J76" s="3"/>
      <c r="K76" s="3"/>
      <c r="L76" s="3"/>
      <c r="M76" s="3"/>
      <c r="N76" s="3"/>
      <c r="O76" s="3"/>
      <c r="P76" s="3"/>
      <c r="Q76" s="3"/>
      <c r="R76" s="3"/>
      <c r="S76" s="3"/>
      <c r="T76" s="3"/>
      <c r="U76" s="3"/>
      <c r="V76" s="3"/>
      <c r="W76" s="3"/>
      <c r="X76" s="3"/>
      <c r="Y76" s="3"/>
    </row>
    <row r="77" spans="2:25" x14ac:dyDescent="0.3">
      <c r="H77" s="3"/>
      <c r="I77" s="3"/>
      <c r="J77" s="3"/>
      <c r="K77" s="3"/>
      <c r="L77" s="3"/>
      <c r="M77" s="3"/>
      <c r="N77" s="3"/>
      <c r="O77" s="3"/>
      <c r="P77" s="3"/>
      <c r="Q77" s="3"/>
      <c r="R77" s="3"/>
      <c r="S77" s="3"/>
      <c r="T77" s="3"/>
      <c r="U77" s="3"/>
      <c r="V77" s="3"/>
      <c r="W77" s="3"/>
      <c r="X77" s="3"/>
      <c r="Y77" s="3"/>
    </row>
    <row r="78" spans="2:25" x14ac:dyDescent="0.3">
      <c r="H78" s="3"/>
      <c r="I78" s="3"/>
      <c r="J78" s="3"/>
      <c r="K78" s="3"/>
      <c r="L78" s="3"/>
      <c r="M78" s="3"/>
      <c r="N78" s="3"/>
      <c r="O78" s="3"/>
      <c r="P78" s="3"/>
      <c r="Q78" s="3"/>
      <c r="R78" s="3"/>
      <c r="S78" s="3"/>
      <c r="T78" s="3"/>
      <c r="U78" s="3"/>
      <c r="V78" s="3"/>
      <c r="W78" s="3"/>
      <c r="X78" s="3"/>
      <c r="Y78" s="3"/>
    </row>
    <row r="79" spans="2:25" x14ac:dyDescent="0.3">
      <c r="H79" s="3"/>
      <c r="I79" s="3"/>
      <c r="J79" s="3"/>
      <c r="K79" s="3"/>
      <c r="L79" s="3"/>
      <c r="M79" s="3"/>
      <c r="N79" s="3"/>
      <c r="O79" s="3"/>
      <c r="P79" s="3"/>
      <c r="Q79" s="3"/>
      <c r="R79" s="3"/>
      <c r="S79" s="3"/>
      <c r="T79" s="3"/>
      <c r="U79" s="3"/>
      <c r="V79" s="3"/>
      <c r="W79" s="3"/>
      <c r="X79" s="3"/>
      <c r="Y79" s="3"/>
    </row>
    <row r="80" spans="2:25" x14ac:dyDescent="0.3">
      <c r="H80" s="3"/>
      <c r="I80" s="3"/>
      <c r="J80" s="3"/>
      <c r="K80" s="3"/>
      <c r="L80" s="3"/>
      <c r="M80" s="3"/>
      <c r="N80" s="3"/>
      <c r="O80" s="3"/>
      <c r="P80" s="3"/>
      <c r="Q80" s="3"/>
      <c r="R80" s="3"/>
      <c r="S80" s="3"/>
      <c r="T80" s="3"/>
      <c r="U80" s="3"/>
      <c r="V80" s="3"/>
      <c r="W80" s="3"/>
      <c r="X80" s="3"/>
      <c r="Y80" s="3"/>
    </row>
    <row r="81" spans="8:25" x14ac:dyDescent="0.3">
      <c r="H81" s="3"/>
      <c r="I81" s="3"/>
      <c r="J81" s="3"/>
      <c r="K81" s="3"/>
      <c r="L81" s="3"/>
      <c r="M81" s="3"/>
      <c r="N81" s="3"/>
      <c r="O81" s="3"/>
      <c r="P81" s="3"/>
      <c r="Q81" s="3"/>
      <c r="R81" s="3"/>
      <c r="S81" s="3"/>
      <c r="T81" s="3"/>
      <c r="U81" s="3"/>
      <c r="V81" s="3"/>
      <c r="W81" s="3"/>
      <c r="X81" s="3"/>
      <c r="Y81" s="3"/>
    </row>
    <row r="82" spans="8:25" x14ac:dyDescent="0.3">
      <c r="H82" s="3"/>
      <c r="I82" s="3"/>
      <c r="J82" s="3"/>
      <c r="K82" s="3"/>
      <c r="L82" s="3"/>
      <c r="M82" s="3"/>
      <c r="N82" s="3"/>
      <c r="O82" s="3"/>
      <c r="P82" s="3"/>
      <c r="Q82" s="3"/>
      <c r="R82" s="3"/>
      <c r="S82" s="3"/>
      <c r="T82" s="3"/>
      <c r="U82" s="3"/>
      <c r="V82" s="3"/>
      <c r="W82" s="3"/>
      <c r="X82" s="3"/>
      <c r="Y82" s="3"/>
    </row>
    <row r="83" spans="8:25" x14ac:dyDescent="0.3">
      <c r="H83" s="3"/>
      <c r="I83" s="3"/>
      <c r="J83" s="3"/>
      <c r="K83" s="3"/>
      <c r="L83" s="3"/>
      <c r="M83" s="3"/>
      <c r="N83" s="3"/>
      <c r="O83" s="3"/>
      <c r="P83" s="3"/>
      <c r="Q83" s="3"/>
      <c r="R83" s="3"/>
      <c r="S83" s="3"/>
      <c r="T83" s="3"/>
      <c r="U83" s="3"/>
      <c r="V83" s="3"/>
      <c r="W83" s="3"/>
      <c r="X83" s="3"/>
      <c r="Y83" s="3"/>
    </row>
    <row r="84" spans="8:25" x14ac:dyDescent="0.3">
      <c r="H84" s="3"/>
      <c r="I84" s="3"/>
      <c r="J84" s="3"/>
      <c r="K84" s="3"/>
      <c r="L84" s="3"/>
      <c r="M84" s="3"/>
      <c r="N84" s="3"/>
      <c r="O84" s="3"/>
      <c r="P84" s="3"/>
      <c r="Q84" s="3"/>
      <c r="R84" s="3"/>
      <c r="S84" s="3"/>
      <c r="T84" s="3"/>
      <c r="U84" s="3"/>
      <c r="V84" s="3"/>
      <c r="W84" s="3"/>
      <c r="X84" s="3"/>
      <c r="Y84" s="3"/>
    </row>
    <row r="85" spans="8:25" x14ac:dyDescent="0.3">
      <c r="H85" s="3"/>
      <c r="I85" s="3"/>
      <c r="J85" s="3"/>
      <c r="K85" s="3"/>
      <c r="L85" s="3"/>
      <c r="M85" s="3"/>
      <c r="N85" s="3"/>
      <c r="O85" s="3"/>
      <c r="P85" s="3"/>
      <c r="Q85" s="3"/>
      <c r="R85" s="3"/>
      <c r="S85" s="3"/>
      <c r="T85" s="3"/>
      <c r="U85" s="3"/>
      <c r="V85" s="3"/>
      <c r="W85" s="3"/>
      <c r="X85" s="3"/>
      <c r="Y85" s="3"/>
    </row>
    <row r="86" spans="8:25" x14ac:dyDescent="0.3">
      <c r="H86" s="3"/>
      <c r="I86" s="3"/>
      <c r="J86" s="3"/>
      <c r="K86" s="3"/>
      <c r="L86" s="3"/>
      <c r="M86" s="3"/>
      <c r="N86" s="3"/>
      <c r="O86" s="3"/>
      <c r="P86" s="3"/>
      <c r="Q86" s="3"/>
      <c r="R86" s="3"/>
      <c r="S86" s="3"/>
      <c r="T86" s="3"/>
      <c r="U86" s="3"/>
      <c r="V86" s="3"/>
      <c r="W86" s="3"/>
      <c r="X86" s="3"/>
      <c r="Y86" s="3"/>
    </row>
    <row r="87" spans="8:25" x14ac:dyDescent="0.3">
      <c r="H87" s="3"/>
      <c r="I87" s="3"/>
      <c r="J87" s="3"/>
      <c r="K87" s="3"/>
      <c r="L87" s="3"/>
      <c r="M87" s="3"/>
      <c r="N87" s="3"/>
      <c r="O87" s="3"/>
      <c r="P87" s="3"/>
      <c r="Q87" s="3"/>
      <c r="R87" s="3"/>
      <c r="S87" s="3"/>
      <c r="T87" s="3"/>
      <c r="U87" s="3"/>
      <c r="V87" s="3"/>
      <c r="W87" s="3"/>
      <c r="X87" s="3"/>
      <c r="Y87" s="3"/>
    </row>
    <row r="88" spans="8:25" x14ac:dyDescent="0.3">
      <c r="H88" s="3"/>
      <c r="I88" s="3"/>
      <c r="J88" s="3"/>
      <c r="K88" s="3"/>
      <c r="L88" s="3"/>
      <c r="M88" s="3"/>
      <c r="N88" s="3"/>
      <c r="O88" s="3"/>
      <c r="P88" s="3"/>
      <c r="Q88" s="3"/>
      <c r="R88" s="3"/>
      <c r="S88" s="3"/>
      <c r="T88" s="3"/>
      <c r="U88" s="3"/>
      <c r="V88" s="3"/>
      <c r="W88" s="3"/>
      <c r="X88" s="3"/>
      <c r="Y88" s="3"/>
    </row>
    <row r="89" spans="8:25" x14ac:dyDescent="0.3">
      <c r="H89" s="3"/>
      <c r="I89" s="3"/>
      <c r="J89" s="3"/>
      <c r="K89" s="3"/>
      <c r="L89" s="3"/>
      <c r="M89" s="3"/>
      <c r="N89" s="3"/>
      <c r="O89" s="3"/>
      <c r="P89" s="3"/>
      <c r="Q89" s="3"/>
      <c r="R89" s="3"/>
      <c r="S89" s="3"/>
      <c r="T89" s="3"/>
      <c r="U89" s="3"/>
      <c r="V89" s="3"/>
      <c r="W89" s="3"/>
      <c r="X89" s="3"/>
      <c r="Y89" s="3"/>
    </row>
    <row r="90" spans="8:25" x14ac:dyDescent="0.3">
      <c r="H90" s="3"/>
      <c r="I90" s="3"/>
      <c r="J90" s="3"/>
      <c r="K90" s="3"/>
      <c r="L90" s="3"/>
      <c r="M90" s="3"/>
      <c r="N90" s="3"/>
      <c r="O90" s="3"/>
      <c r="P90" s="3"/>
      <c r="Q90" s="3"/>
      <c r="R90" s="3"/>
      <c r="S90" s="3"/>
      <c r="T90" s="3"/>
      <c r="U90" s="3"/>
      <c r="V90" s="3"/>
      <c r="W90" s="3"/>
      <c r="X90" s="3"/>
      <c r="Y90" s="3"/>
    </row>
    <row r="91" spans="8:25" x14ac:dyDescent="0.3">
      <c r="H91" s="3"/>
      <c r="I91" s="3"/>
      <c r="J91" s="3"/>
      <c r="K91" s="3"/>
      <c r="L91" s="3"/>
      <c r="M91" s="3"/>
      <c r="N91" s="3"/>
      <c r="O91" s="3"/>
      <c r="P91" s="3"/>
      <c r="Q91" s="3"/>
      <c r="R91" s="3"/>
      <c r="S91" s="3"/>
      <c r="T91" s="3"/>
      <c r="U91" s="3"/>
      <c r="V91" s="3"/>
      <c r="W91" s="3"/>
      <c r="X91" s="3"/>
      <c r="Y91" s="3"/>
    </row>
    <row r="92" spans="8:25" x14ac:dyDescent="0.3">
      <c r="H92" s="3"/>
      <c r="I92" s="3"/>
      <c r="J92" s="3"/>
      <c r="K92" s="3"/>
      <c r="L92" s="3"/>
      <c r="M92" s="3"/>
      <c r="N92" s="3"/>
      <c r="O92" s="3"/>
      <c r="P92" s="3"/>
      <c r="Q92" s="3"/>
      <c r="R92" s="3"/>
      <c r="S92" s="3"/>
      <c r="T92" s="3"/>
      <c r="U92" s="3"/>
      <c r="V92" s="3"/>
      <c r="W92" s="3"/>
      <c r="X92" s="3"/>
      <c r="Y92" s="3"/>
    </row>
    <row r="93" spans="8:25" x14ac:dyDescent="0.3">
      <c r="H93" s="3"/>
      <c r="I93" s="3"/>
      <c r="J93" s="3"/>
      <c r="K93" s="3"/>
      <c r="L93" s="3"/>
      <c r="M93" s="3"/>
      <c r="N93" s="3"/>
      <c r="O93" s="3"/>
      <c r="P93" s="3"/>
      <c r="Q93" s="3"/>
      <c r="R93" s="3"/>
      <c r="S93" s="3"/>
      <c r="T93" s="3"/>
      <c r="U93" s="3"/>
      <c r="V93" s="3"/>
      <c r="W93" s="3"/>
      <c r="X93" s="3"/>
      <c r="Y93" s="3"/>
    </row>
    <row r="94" spans="8:25" x14ac:dyDescent="0.3">
      <c r="H94" s="3"/>
      <c r="I94" s="3"/>
      <c r="J94" s="3"/>
      <c r="K94" s="3"/>
      <c r="L94" s="3"/>
      <c r="M94" s="3"/>
      <c r="N94" s="3"/>
      <c r="O94" s="3"/>
      <c r="P94" s="3"/>
      <c r="Q94" s="3"/>
      <c r="R94" s="3"/>
      <c r="S94" s="3"/>
      <c r="T94" s="3"/>
      <c r="U94" s="3"/>
      <c r="V94" s="3"/>
      <c r="W94" s="3"/>
      <c r="X94" s="3"/>
      <c r="Y94" s="3"/>
    </row>
    <row r="95" spans="8:25" x14ac:dyDescent="0.3">
      <c r="H95" s="3"/>
      <c r="I95" s="3"/>
      <c r="J95" s="3"/>
      <c r="K95" s="3"/>
      <c r="L95" s="3"/>
      <c r="M95" s="3"/>
      <c r="N95" s="3"/>
      <c r="O95" s="3"/>
      <c r="P95" s="3"/>
      <c r="Q95" s="3"/>
      <c r="R95" s="3"/>
      <c r="S95" s="3"/>
      <c r="T95" s="3"/>
      <c r="U95" s="3"/>
      <c r="V95" s="3"/>
      <c r="W95" s="3"/>
      <c r="X95" s="3"/>
      <c r="Y95" s="3"/>
    </row>
    <row r="96" spans="8:25" x14ac:dyDescent="0.3">
      <c r="H96" s="3"/>
      <c r="I96" s="3"/>
      <c r="J96" s="3"/>
      <c r="K96" s="3"/>
      <c r="L96" s="3"/>
      <c r="M96" s="3"/>
      <c r="N96" s="3"/>
      <c r="O96" s="3"/>
      <c r="P96" s="3"/>
      <c r="Q96" s="3"/>
      <c r="R96" s="3"/>
      <c r="S96" s="3"/>
      <c r="T96" s="3"/>
      <c r="U96" s="3"/>
      <c r="V96" s="3"/>
      <c r="W96" s="3"/>
      <c r="X96" s="3"/>
      <c r="Y96" s="3"/>
    </row>
    <row r="97" spans="8:25" x14ac:dyDescent="0.3">
      <c r="H97" s="3"/>
      <c r="I97" s="3"/>
      <c r="J97" s="3"/>
      <c r="K97" s="3"/>
      <c r="L97" s="3"/>
      <c r="M97" s="3"/>
      <c r="N97" s="3"/>
      <c r="O97" s="3"/>
      <c r="P97" s="3"/>
      <c r="Q97" s="3"/>
      <c r="R97" s="3"/>
      <c r="S97" s="3"/>
      <c r="T97" s="3"/>
      <c r="U97" s="3"/>
      <c r="V97" s="3"/>
      <c r="W97" s="3"/>
      <c r="X97" s="3"/>
      <c r="Y97" s="3"/>
    </row>
    <row r="98" spans="8:25" x14ac:dyDescent="0.3">
      <c r="H98" s="3"/>
      <c r="I98" s="3"/>
      <c r="J98" s="3"/>
      <c r="K98" s="3"/>
      <c r="L98" s="3"/>
      <c r="M98" s="3"/>
      <c r="N98" s="3"/>
      <c r="O98" s="3"/>
      <c r="P98" s="3"/>
      <c r="Q98" s="3"/>
      <c r="R98" s="3"/>
      <c r="S98" s="3"/>
      <c r="T98" s="3"/>
      <c r="U98" s="3"/>
      <c r="V98" s="3"/>
      <c r="W98" s="3"/>
      <c r="X98" s="3"/>
      <c r="Y98" s="3"/>
    </row>
    <row r="99" spans="8:25" x14ac:dyDescent="0.3">
      <c r="H99" s="3"/>
      <c r="I99" s="3"/>
      <c r="J99" s="3"/>
      <c r="K99" s="3"/>
      <c r="L99" s="3"/>
      <c r="M99" s="3"/>
      <c r="N99" s="3"/>
      <c r="O99" s="3"/>
      <c r="P99" s="3"/>
      <c r="Q99" s="3"/>
      <c r="R99" s="3"/>
      <c r="S99" s="3"/>
      <c r="T99" s="3"/>
      <c r="U99" s="3"/>
      <c r="V99" s="3"/>
      <c r="W99" s="3"/>
      <c r="X99" s="3"/>
      <c r="Y99" s="3"/>
    </row>
    <row r="100" spans="8:25" x14ac:dyDescent="0.3">
      <c r="H100" s="3"/>
      <c r="I100" s="3"/>
      <c r="J100" s="3"/>
      <c r="K100" s="3"/>
      <c r="L100" s="3"/>
      <c r="M100" s="3"/>
      <c r="N100" s="3"/>
      <c r="O100" s="3"/>
      <c r="P100" s="3"/>
      <c r="Q100" s="3"/>
      <c r="R100" s="3"/>
      <c r="S100" s="3"/>
      <c r="T100" s="3"/>
      <c r="U100" s="3"/>
      <c r="V100" s="3"/>
      <c r="W100" s="3"/>
      <c r="X100" s="3"/>
      <c r="Y100" s="3"/>
    </row>
    <row r="101" spans="8:25" x14ac:dyDescent="0.3">
      <c r="H101" s="3"/>
      <c r="I101" s="3"/>
      <c r="J101" s="3"/>
      <c r="K101" s="3"/>
      <c r="L101" s="3"/>
      <c r="M101" s="3"/>
      <c r="N101" s="3"/>
      <c r="O101" s="3"/>
      <c r="P101" s="3"/>
      <c r="Q101" s="3"/>
      <c r="R101" s="3"/>
      <c r="S101" s="3"/>
      <c r="T101" s="3"/>
      <c r="U101" s="3"/>
      <c r="V101" s="3"/>
      <c r="W101" s="3"/>
      <c r="X101" s="3"/>
      <c r="Y101" s="3"/>
    </row>
    <row r="102" spans="8:25" x14ac:dyDescent="0.3">
      <c r="H102" s="3"/>
      <c r="I102" s="3"/>
      <c r="J102" s="3"/>
      <c r="K102" s="3"/>
      <c r="L102" s="3"/>
      <c r="M102" s="3"/>
      <c r="N102" s="3"/>
      <c r="O102" s="3"/>
      <c r="P102" s="3"/>
      <c r="Q102" s="3"/>
      <c r="R102" s="3"/>
      <c r="S102" s="3"/>
      <c r="T102" s="3"/>
      <c r="U102" s="3"/>
      <c r="V102" s="3"/>
      <c r="W102" s="3"/>
      <c r="X102" s="3"/>
      <c r="Y102" s="3"/>
    </row>
    <row r="103" spans="8:25" x14ac:dyDescent="0.3">
      <c r="H103" s="3"/>
      <c r="I103" s="3"/>
      <c r="J103" s="3"/>
      <c r="K103" s="3"/>
      <c r="L103" s="3"/>
      <c r="M103" s="3"/>
      <c r="N103" s="3"/>
      <c r="O103" s="3"/>
      <c r="P103" s="3"/>
      <c r="Q103" s="3"/>
      <c r="R103" s="3"/>
      <c r="S103" s="3"/>
      <c r="T103" s="3"/>
      <c r="U103" s="3"/>
      <c r="V103" s="3"/>
      <c r="W103" s="3"/>
      <c r="X103" s="3"/>
      <c r="Y103" s="3"/>
    </row>
    <row r="104" spans="8:25" x14ac:dyDescent="0.3">
      <c r="H104" s="3"/>
      <c r="I104" s="3"/>
      <c r="J104" s="3"/>
      <c r="K104" s="3"/>
      <c r="L104" s="3"/>
      <c r="M104" s="3"/>
      <c r="N104" s="3"/>
      <c r="O104" s="3"/>
      <c r="P104" s="3"/>
      <c r="Q104" s="3"/>
      <c r="R104" s="3"/>
      <c r="S104" s="3"/>
      <c r="T104" s="3"/>
      <c r="U104" s="3"/>
      <c r="V104" s="3"/>
      <c r="W104" s="3"/>
      <c r="X104" s="3"/>
      <c r="Y104" s="3"/>
    </row>
    <row r="105" spans="8:25" x14ac:dyDescent="0.3">
      <c r="H105" s="3"/>
      <c r="I105" s="3"/>
      <c r="J105" s="3"/>
      <c r="K105" s="3"/>
      <c r="L105" s="3"/>
      <c r="M105" s="3"/>
      <c r="N105" s="3"/>
      <c r="O105" s="3"/>
      <c r="P105" s="3"/>
      <c r="Q105" s="3"/>
      <c r="R105" s="3"/>
      <c r="S105" s="3"/>
      <c r="T105" s="3"/>
      <c r="U105" s="3"/>
      <c r="V105" s="3"/>
      <c r="W105" s="3"/>
      <c r="X105" s="3"/>
      <c r="Y105" s="3"/>
    </row>
    <row r="106" spans="8:25" x14ac:dyDescent="0.3">
      <c r="H106" s="3"/>
      <c r="I106" s="3"/>
      <c r="J106" s="3"/>
      <c r="K106" s="3"/>
      <c r="L106" s="3"/>
      <c r="M106" s="3"/>
      <c r="N106" s="3"/>
      <c r="O106" s="3"/>
      <c r="P106" s="3"/>
      <c r="Q106" s="3"/>
      <c r="R106" s="3"/>
      <c r="S106" s="3"/>
      <c r="T106" s="3"/>
      <c r="U106" s="3"/>
      <c r="V106" s="3"/>
      <c r="W106" s="3"/>
      <c r="X106" s="3"/>
      <c r="Y106" s="3"/>
    </row>
    <row r="107" spans="8:25" x14ac:dyDescent="0.3">
      <c r="H107" s="3"/>
      <c r="I107" s="3"/>
      <c r="J107" s="3"/>
      <c r="K107" s="3"/>
      <c r="L107" s="3"/>
      <c r="M107" s="3"/>
      <c r="N107" s="3"/>
      <c r="O107" s="3"/>
      <c r="P107" s="3"/>
      <c r="Q107" s="3"/>
      <c r="R107" s="3"/>
      <c r="S107" s="3"/>
      <c r="T107" s="3"/>
      <c r="U107" s="3"/>
      <c r="V107" s="3"/>
      <c r="W107" s="3"/>
      <c r="X107" s="3"/>
      <c r="Y107" s="3"/>
    </row>
    <row r="108" spans="8:25" x14ac:dyDescent="0.3">
      <c r="H108" s="3"/>
      <c r="I108" s="3"/>
      <c r="J108" s="3"/>
      <c r="K108" s="3"/>
      <c r="L108" s="3"/>
      <c r="M108" s="3"/>
      <c r="N108" s="3"/>
      <c r="O108" s="3"/>
      <c r="P108" s="3"/>
      <c r="Q108" s="3"/>
      <c r="R108" s="3"/>
      <c r="S108" s="3"/>
      <c r="T108" s="3"/>
      <c r="U108" s="3"/>
      <c r="V108" s="3"/>
      <c r="W108" s="3"/>
      <c r="X108" s="3"/>
      <c r="Y108" s="3"/>
    </row>
    <row r="109" spans="8:25" x14ac:dyDescent="0.3">
      <c r="H109" s="3"/>
      <c r="I109" s="3"/>
      <c r="J109" s="3"/>
      <c r="K109" s="3"/>
      <c r="L109" s="3"/>
      <c r="M109" s="3"/>
      <c r="N109" s="3"/>
      <c r="O109" s="3"/>
      <c r="P109" s="3"/>
      <c r="Q109" s="3"/>
      <c r="R109" s="3"/>
      <c r="S109" s="3"/>
      <c r="T109" s="3"/>
      <c r="U109" s="3"/>
      <c r="V109" s="3"/>
      <c r="W109" s="3"/>
      <c r="X109" s="3"/>
      <c r="Y109" s="3"/>
    </row>
    <row r="110" spans="8:25" x14ac:dyDescent="0.3">
      <c r="H110" s="3"/>
      <c r="I110" s="3"/>
      <c r="J110" s="3"/>
      <c r="K110" s="3"/>
      <c r="L110" s="3"/>
      <c r="M110" s="3"/>
      <c r="N110" s="3"/>
      <c r="O110" s="3"/>
      <c r="P110" s="3"/>
      <c r="Q110" s="3"/>
      <c r="R110" s="3"/>
      <c r="S110" s="3"/>
      <c r="T110" s="3"/>
      <c r="U110" s="3"/>
      <c r="V110" s="3"/>
      <c r="W110" s="3"/>
      <c r="X110" s="3"/>
      <c r="Y110" s="3"/>
    </row>
    <row r="111" spans="8:25" x14ac:dyDescent="0.3">
      <c r="H111" s="3"/>
      <c r="I111" s="3"/>
      <c r="J111" s="3"/>
      <c r="K111" s="3"/>
      <c r="L111" s="3"/>
      <c r="M111" s="3"/>
      <c r="N111" s="3"/>
      <c r="O111" s="3"/>
      <c r="P111" s="3"/>
      <c r="Q111" s="3"/>
      <c r="R111" s="3"/>
      <c r="S111" s="3"/>
      <c r="T111" s="3"/>
      <c r="U111" s="3"/>
      <c r="V111" s="3"/>
      <c r="W111" s="3"/>
      <c r="X111" s="3"/>
      <c r="Y111" s="3"/>
    </row>
    <row r="112" spans="8:25" x14ac:dyDescent="0.3">
      <c r="H112" s="3"/>
      <c r="I112" s="3"/>
      <c r="J112" s="3"/>
      <c r="K112" s="3"/>
      <c r="L112" s="3"/>
      <c r="M112" s="3"/>
      <c r="N112" s="3"/>
      <c r="O112" s="3"/>
      <c r="P112" s="3"/>
      <c r="Q112" s="3"/>
      <c r="R112" s="3"/>
      <c r="S112" s="3"/>
      <c r="T112" s="3"/>
      <c r="U112" s="3"/>
      <c r="V112" s="3"/>
      <c r="W112" s="3"/>
      <c r="X112" s="3"/>
      <c r="Y112" s="3"/>
    </row>
    <row r="113" spans="8:25" x14ac:dyDescent="0.3">
      <c r="H113" s="3"/>
      <c r="I113" s="3"/>
      <c r="J113" s="3"/>
      <c r="K113" s="3"/>
      <c r="L113" s="3"/>
      <c r="M113" s="3"/>
      <c r="N113" s="3"/>
      <c r="O113" s="3"/>
      <c r="P113" s="3"/>
      <c r="Q113" s="3"/>
      <c r="R113" s="3"/>
      <c r="S113" s="3"/>
      <c r="T113" s="3"/>
      <c r="U113" s="3"/>
      <c r="V113" s="3"/>
      <c r="W113" s="3"/>
      <c r="X113" s="3"/>
      <c r="Y113" s="3"/>
    </row>
  </sheetData>
  <mergeCells count="18">
    <mergeCell ref="L53:M53"/>
    <mergeCell ref="N53:O53"/>
    <mergeCell ref="F1:F2"/>
    <mergeCell ref="A1:A2"/>
    <mergeCell ref="B1:B2"/>
    <mergeCell ref="C1:C2"/>
    <mergeCell ref="D1:D2"/>
    <mergeCell ref="E1:E2"/>
    <mergeCell ref="T1:V1"/>
    <mergeCell ref="W1:W2"/>
    <mergeCell ref="X1:X2"/>
    <mergeCell ref="Y1:Y2"/>
    <mergeCell ref="G1:G2"/>
    <mergeCell ref="H1:H2"/>
    <mergeCell ref="I1:K1"/>
    <mergeCell ref="L1:N1"/>
    <mergeCell ref="O1:P1"/>
    <mergeCell ref="Q1:S1"/>
  </mergeCells>
  <conditionalFormatting sqref="F31:Y31">
    <cfRule type="cellIs" dxfId="2" priority="3" operator="lessThan">
      <formula>0</formula>
    </cfRule>
  </conditionalFormatting>
  <conditionalFormatting sqref="F48:Y48">
    <cfRule type="cellIs" dxfId="1" priority="2" operator="lessThan">
      <formula>0</formula>
    </cfRule>
  </conditionalFormatting>
  <conditionalFormatting sqref="F51:G51">
    <cfRule type="cellIs" dxfId="0" priority="1" operator="lessThan">
      <formula>0</formula>
    </cfRule>
  </conditionalFormatting>
  <pageMargins left="0.7" right="0.7" top="0.75" bottom="0.75" header="0.3" footer="0.3"/>
  <pageSetup paperSize="9" orientation="portrait" horizontalDpi="0" verticalDpi="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zoomScale="87" workbookViewId="0">
      <selection activeCell="M67" sqref="M67"/>
    </sheetView>
  </sheetViews>
  <sheetFormatPr defaultColWidth="11.5546875" defaultRowHeight="14.4" x14ac:dyDescent="0.3"/>
  <cols>
    <col min="16" max="16" width="8.77734375" bestFit="1" customWidth="1"/>
    <col min="17" max="17" width="11" bestFit="1" customWidth="1"/>
    <col min="18" max="18" width="19.33203125" bestFit="1" customWidth="1"/>
    <col min="19" max="19" width="6.109375" bestFit="1" customWidth="1"/>
    <col min="20" max="20" width="9.33203125" bestFit="1" customWidth="1"/>
    <col min="21" max="21" width="10.109375" bestFit="1" customWidth="1"/>
    <col min="22" max="22" width="8.77734375" bestFit="1" customWidth="1"/>
    <col min="23" max="23" width="8.33203125" bestFit="1" customWidth="1"/>
    <col min="24" max="24" width="6.109375" bestFit="1" customWidth="1"/>
    <col min="25" max="25" width="19.77734375" bestFit="1" customWidth="1"/>
    <col min="26" max="26" width="17.77734375" bestFit="1" customWidth="1"/>
    <col min="27" max="27" width="6.109375" bestFit="1" customWidth="1"/>
    <col min="28" max="28" width="12.77734375" bestFit="1" customWidth="1"/>
    <col min="29" max="29" width="8.109375" bestFit="1" customWidth="1"/>
  </cols>
  <sheetData>
    <row r="1" spans="1:34" x14ac:dyDescent="0.3">
      <c r="A1" s="160" t="s">
        <v>30</v>
      </c>
      <c r="B1" s="161" t="s">
        <v>17</v>
      </c>
      <c r="C1" s="162" t="s">
        <v>38</v>
      </c>
      <c r="D1" s="160" t="s">
        <v>16</v>
      </c>
      <c r="E1" s="159" t="s">
        <v>46</v>
      </c>
      <c r="F1" s="159" t="s">
        <v>59</v>
      </c>
      <c r="G1" s="159" t="s">
        <v>60</v>
      </c>
      <c r="H1" s="158" t="s">
        <v>12</v>
      </c>
      <c r="I1" s="158" t="s">
        <v>14</v>
      </c>
      <c r="J1" s="158" t="s">
        <v>0</v>
      </c>
      <c r="K1" s="158" t="s">
        <v>1</v>
      </c>
      <c r="L1" s="158" t="s">
        <v>5</v>
      </c>
      <c r="M1" s="158" t="s">
        <v>6</v>
      </c>
      <c r="N1" s="158" t="s">
        <v>7</v>
      </c>
      <c r="O1" s="158" t="s">
        <v>9</v>
      </c>
      <c r="P1" s="158" t="s">
        <v>1</v>
      </c>
      <c r="Q1" s="158"/>
      <c r="R1" s="158"/>
      <c r="S1" s="158" t="s">
        <v>5</v>
      </c>
      <c r="T1" s="158"/>
      <c r="U1" s="158"/>
      <c r="V1" s="158" t="s">
        <v>6</v>
      </c>
      <c r="W1" s="158"/>
      <c r="X1" s="158" t="s">
        <v>7</v>
      </c>
      <c r="Y1" s="158"/>
      <c r="Z1" s="158"/>
      <c r="AA1" s="158" t="s">
        <v>9</v>
      </c>
      <c r="AB1" s="158"/>
      <c r="AC1" s="158"/>
      <c r="AD1" s="158" t="s">
        <v>13</v>
      </c>
      <c r="AE1" s="87"/>
      <c r="AF1" s="87"/>
      <c r="AG1" s="87"/>
      <c r="AH1" s="87"/>
    </row>
    <row r="2" spans="1:34" ht="28.8" x14ac:dyDescent="0.3">
      <c r="A2" s="160"/>
      <c r="B2" s="161"/>
      <c r="C2" s="162"/>
      <c r="D2" s="160"/>
      <c r="E2" s="159"/>
      <c r="F2" s="159"/>
      <c r="G2" s="159"/>
      <c r="H2" s="158"/>
      <c r="I2" s="158"/>
      <c r="J2" s="158"/>
      <c r="K2" s="158"/>
      <c r="L2" s="158"/>
      <c r="M2" s="158"/>
      <c r="N2" s="158"/>
      <c r="O2" s="158"/>
      <c r="P2" s="84" t="s">
        <v>2</v>
      </c>
      <c r="Q2" s="84" t="s">
        <v>3</v>
      </c>
      <c r="R2" s="85" t="s">
        <v>4</v>
      </c>
      <c r="S2" s="84" t="s">
        <v>18</v>
      </c>
      <c r="T2" s="84" t="s">
        <v>19</v>
      </c>
      <c r="U2" s="84" t="s">
        <v>22</v>
      </c>
      <c r="V2" s="84" t="s">
        <v>20</v>
      </c>
      <c r="W2" s="84" t="s">
        <v>21</v>
      </c>
      <c r="X2" s="84" t="s">
        <v>8</v>
      </c>
      <c r="Y2" s="85" t="s">
        <v>15</v>
      </c>
      <c r="Z2" s="85" t="s">
        <v>24</v>
      </c>
      <c r="AA2" s="84" t="s">
        <v>10</v>
      </c>
      <c r="AB2" s="84" t="s">
        <v>11</v>
      </c>
      <c r="AC2" s="84" t="s">
        <v>23</v>
      </c>
      <c r="AD2" s="158"/>
      <c r="AE2" s="84"/>
      <c r="AF2" s="84"/>
      <c r="AG2" s="84"/>
      <c r="AH2" s="84"/>
    </row>
    <row r="3" spans="1:34" hidden="1" x14ac:dyDescent="0.3">
      <c r="A3" s="88"/>
      <c r="B3" s="89" t="s">
        <v>165</v>
      </c>
      <c r="C3" s="90">
        <v>1</v>
      </c>
      <c r="D3" s="88"/>
      <c r="E3" s="88" t="s">
        <v>73</v>
      </c>
      <c r="F3" s="91">
        <v>86.8</v>
      </c>
      <c r="G3" s="91">
        <v>34.9</v>
      </c>
      <c r="H3" s="91">
        <v>0.5</v>
      </c>
      <c r="I3" s="91">
        <v>51.9</v>
      </c>
      <c r="J3" s="91">
        <v>8</v>
      </c>
      <c r="K3" s="91"/>
      <c r="L3" s="91"/>
      <c r="M3" s="91"/>
      <c r="N3" s="91"/>
      <c r="O3" s="91"/>
      <c r="P3" s="91">
        <v>2.4500000000000002</v>
      </c>
      <c r="Q3" s="91">
        <v>2.7</v>
      </c>
      <c r="R3" s="91">
        <v>0</v>
      </c>
      <c r="S3" s="91">
        <v>0.9</v>
      </c>
      <c r="T3" s="91">
        <v>0.2</v>
      </c>
      <c r="U3" s="91">
        <v>0</v>
      </c>
      <c r="V3" s="91">
        <v>1.85</v>
      </c>
      <c r="W3" s="91">
        <v>1.5</v>
      </c>
      <c r="X3" s="91">
        <v>1.6</v>
      </c>
      <c r="Y3" s="91">
        <v>0.95</v>
      </c>
      <c r="Z3" s="91">
        <v>0</v>
      </c>
      <c r="AA3" s="91">
        <v>12.5</v>
      </c>
      <c r="AB3" s="91">
        <v>1.75</v>
      </c>
      <c r="AC3" s="91">
        <v>0</v>
      </c>
      <c r="AD3" s="91">
        <v>0</v>
      </c>
      <c r="AE3" s="87" t="s">
        <v>64</v>
      </c>
      <c r="AF3" s="88"/>
      <c r="AG3" s="91"/>
      <c r="AH3" s="91"/>
    </row>
    <row r="4" spans="1:34" hidden="1" x14ac:dyDescent="0.3">
      <c r="A4" s="88"/>
      <c r="B4" s="89" t="s">
        <v>165</v>
      </c>
      <c r="C4" s="90">
        <v>2</v>
      </c>
      <c r="D4" s="88"/>
      <c r="E4" s="88" t="s">
        <v>74</v>
      </c>
      <c r="F4" s="91">
        <v>79.05</v>
      </c>
      <c r="G4" s="91">
        <v>41.95</v>
      </c>
      <c r="H4" s="91">
        <v>1.95</v>
      </c>
      <c r="I4" s="91">
        <v>37.1</v>
      </c>
      <c r="J4" s="91">
        <v>12.4</v>
      </c>
      <c r="K4" s="91"/>
      <c r="L4" s="91"/>
      <c r="M4" s="91"/>
      <c r="N4" s="91"/>
      <c r="O4" s="91"/>
      <c r="P4" s="91">
        <v>3.25</v>
      </c>
      <c r="Q4" s="91">
        <v>3.25</v>
      </c>
      <c r="R4" s="91">
        <v>0</v>
      </c>
      <c r="S4" s="91">
        <v>1.85</v>
      </c>
      <c r="T4" s="91">
        <v>0.55000000000000004</v>
      </c>
      <c r="U4" s="91">
        <v>0</v>
      </c>
      <c r="V4" s="91">
        <v>0.5</v>
      </c>
      <c r="W4" s="91">
        <v>0.25</v>
      </c>
      <c r="X4" s="91">
        <v>5</v>
      </c>
      <c r="Y4" s="91">
        <v>1.7</v>
      </c>
      <c r="Z4" s="91">
        <v>0</v>
      </c>
      <c r="AA4" s="91">
        <v>8.3000000000000007</v>
      </c>
      <c r="AB4" s="91">
        <v>2.95</v>
      </c>
      <c r="AC4" s="91">
        <v>0</v>
      </c>
      <c r="AD4" s="91">
        <v>0</v>
      </c>
      <c r="AE4" s="87" t="s">
        <v>64</v>
      </c>
      <c r="AF4" s="88"/>
      <c r="AG4" s="91"/>
      <c r="AH4" s="91"/>
    </row>
    <row r="5" spans="1:34" hidden="1" x14ac:dyDescent="0.3">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row>
    <row r="6" spans="1:34" hidden="1" x14ac:dyDescent="0.3">
      <c r="A6" s="88"/>
      <c r="B6" s="89" t="s">
        <v>166</v>
      </c>
      <c r="C6" s="90">
        <v>1</v>
      </c>
      <c r="D6" s="88"/>
      <c r="E6" s="88" t="s">
        <v>73</v>
      </c>
      <c r="F6" s="91">
        <v>119.2</v>
      </c>
      <c r="G6" s="91">
        <v>43</v>
      </c>
      <c r="H6" s="91">
        <v>1.65</v>
      </c>
      <c r="I6" s="91">
        <v>76.2</v>
      </c>
      <c r="J6" s="91">
        <v>11.25</v>
      </c>
      <c r="K6" s="91"/>
      <c r="L6" s="91"/>
      <c r="M6" s="91"/>
      <c r="N6" s="91"/>
      <c r="O6" s="91"/>
      <c r="P6" s="91">
        <v>3.85</v>
      </c>
      <c r="Q6" s="91">
        <v>1.4</v>
      </c>
      <c r="R6" s="91">
        <v>0</v>
      </c>
      <c r="S6" s="91">
        <v>5.9</v>
      </c>
      <c r="T6" s="91">
        <v>1.9</v>
      </c>
      <c r="U6" s="91">
        <v>0</v>
      </c>
      <c r="V6" s="91">
        <v>1.33</v>
      </c>
      <c r="W6" s="91">
        <v>0.88</v>
      </c>
      <c r="X6" s="91">
        <v>5.8</v>
      </c>
      <c r="Y6" s="91">
        <v>0.65</v>
      </c>
      <c r="Z6" s="91">
        <v>0</v>
      </c>
      <c r="AA6" s="91">
        <v>5.3</v>
      </c>
      <c r="AB6" s="91">
        <v>2.5</v>
      </c>
      <c r="AC6" s="91">
        <v>0.6</v>
      </c>
      <c r="AD6" s="91">
        <v>0</v>
      </c>
      <c r="AE6" s="84" t="s">
        <v>66</v>
      </c>
      <c r="AF6" s="88"/>
      <c r="AG6" s="91"/>
      <c r="AH6" s="91"/>
    </row>
    <row r="7" spans="1:34" hidden="1" x14ac:dyDescent="0.3">
      <c r="A7" s="88"/>
      <c r="B7" s="89" t="s">
        <v>166</v>
      </c>
      <c r="C7" s="90">
        <v>2</v>
      </c>
      <c r="D7" s="88"/>
      <c r="E7" s="88" t="s">
        <v>74</v>
      </c>
      <c r="F7" s="91">
        <v>93.5</v>
      </c>
      <c r="G7" s="91">
        <v>47.3</v>
      </c>
      <c r="H7" s="91">
        <v>0.8</v>
      </c>
      <c r="I7" s="91">
        <v>46.2</v>
      </c>
      <c r="J7" s="91">
        <v>11.7</v>
      </c>
      <c r="K7" s="91"/>
      <c r="L7" s="91"/>
      <c r="M7" s="91"/>
      <c r="N7" s="91"/>
      <c r="O7" s="91"/>
      <c r="P7" s="91">
        <v>3.95</v>
      </c>
      <c r="Q7" s="91">
        <v>1.8</v>
      </c>
      <c r="R7" s="91">
        <v>0</v>
      </c>
      <c r="S7" s="91">
        <v>4.3</v>
      </c>
      <c r="T7" s="91">
        <v>3.2</v>
      </c>
      <c r="U7" s="91">
        <v>0</v>
      </c>
      <c r="V7" s="91">
        <v>0.75</v>
      </c>
      <c r="W7" s="91">
        <v>0.3</v>
      </c>
      <c r="X7" s="91">
        <v>5.2</v>
      </c>
      <c r="Y7" s="91">
        <v>1.2</v>
      </c>
      <c r="Z7" s="91">
        <v>0</v>
      </c>
      <c r="AA7" s="91">
        <v>12.45</v>
      </c>
      <c r="AB7" s="91">
        <v>1.65</v>
      </c>
      <c r="AC7" s="91">
        <v>0</v>
      </c>
      <c r="AD7" s="91">
        <v>0</v>
      </c>
      <c r="AE7" s="84" t="s">
        <v>66</v>
      </c>
      <c r="AF7" s="88"/>
      <c r="AG7" s="91"/>
      <c r="AH7" s="91"/>
    </row>
    <row r="8" spans="1:34" hidden="1" x14ac:dyDescent="0.3">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row>
    <row r="9" spans="1:34" hidden="1" x14ac:dyDescent="0.3">
      <c r="A9" s="88"/>
      <c r="B9" s="89" t="s">
        <v>167</v>
      </c>
      <c r="C9" s="90">
        <v>1</v>
      </c>
      <c r="D9" s="88"/>
      <c r="E9" s="88" t="s">
        <v>73</v>
      </c>
      <c r="F9" s="91">
        <v>34.08</v>
      </c>
      <c r="G9" s="91">
        <v>13.08</v>
      </c>
      <c r="H9" s="91">
        <v>0</v>
      </c>
      <c r="I9" s="91">
        <v>21</v>
      </c>
      <c r="J9" s="91">
        <v>1.6</v>
      </c>
      <c r="K9" s="91"/>
      <c r="L9" s="91"/>
      <c r="M9" s="91"/>
      <c r="N9" s="91"/>
      <c r="O9" s="91"/>
      <c r="P9" s="91">
        <v>0.05</v>
      </c>
      <c r="Q9" s="91">
        <v>0.05</v>
      </c>
      <c r="R9" s="91">
        <v>0</v>
      </c>
      <c r="S9" s="91">
        <v>0</v>
      </c>
      <c r="T9" s="91">
        <v>0.8</v>
      </c>
      <c r="U9" s="91">
        <v>0</v>
      </c>
      <c r="V9" s="91">
        <v>0</v>
      </c>
      <c r="W9" s="91">
        <v>0</v>
      </c>
      <c r="X9" s="91">
        <v>2.9</v>
      </c>
      <c r="Y9" s="91">
        <v>0.45</v>
      </c>
      <c r="Z9" s="91">
        <v>0.1</v>
      </c>
      <c r="AA9" s="91">
        <v>6.93</v>
      </c>
      <c r="AB9" s="91">
        <v>0.2</v>
      </c>
      <c r="AC9" s="91">
        <v>0</v>
      </c>
      <c r="AD9" s="91">
        <v>0</v>
      </c>
      <c r="AE9" s="87" t="s">
        <v>67</v>
      </c>
      <c r="AF9" s="91"/>
      <c r="AG9" s="91"/>
      <c r="AH9" s="88"/>
    </row>
    <row r="10" spans="1:34" hidden="1" x14ac:dyDescent="0.3">
      <c r="A10" s="88"/>
      <c r="B10" s="89" t="s">
        <v>167</v>
      </c>
      <c r="C10" s="90">
        <v>2</v>
      </c>
      <c r="D10" s="88"/>
      <c r="E10" s="88" t="s">
        <v>74</v>
      </c>
      <c r="F10" s="91">
        <v>76.92</v>
      </c>
      <c r="G10" s="91">
        <v>51.27</v>
      </c>
      <c r="H10" s="91">
        <v>0</v>
      </c>
      <c r="I10" s="91">
        <v>25.65</v>
      </c>
      <c r="J10" s="91">
        <v>7.42</v>
      </c>
      <c r="K10" s="91"/>
      <c r="L10" s="91"/>
      <c r="M10" s="91"/>
      <c r="N10" s="91"/>
      <c r="O10" s="91"/>
      <c r="P10" s="91">
        <v>4.9400000000000004</v>
      </c>
      <c r="Q10" s="91">
        <v>1.34</v>
      </c>
      <c r="R10" s="91">
        <v>0</v>
      </c>
      <c r="S10" s="91">
        <v>0.49</v>
      </c>
      <c r="T10" s="91">
        <v>5.34</v>
      </c>
      <c r="U10" s="91">
        <v>0</v>
      </c>
      <c r="V10" s="91">
        <v>0.9</v>
      </c>
      <c r="W10" s="91">
        <v>0</v>
      </c>
      <c r="X10" s="91">
        <v>15.75</v>
      </c>
      <c r="Y10" s="91">
        <v>0.08</v>
      </c>
      <c r="Z10" s="91">
        <v>0</v>
      </c>
      <c r="AA10" s="91">
        <v>10.23</v>
      </c>
      <c r="AB10" s="91">
        <v>4.12</v>
      </c>
      <c r="AC10" s="91">
        <v>0.66</v>
      </c>
      <c r="AD10" s="91">
        <v>0</v>
      </c>
      <c r="AE10" s="87" t="s">
        <v>67</v>
      </c>
      <c r="AF10" s="88"/>
      <c r="AG10" s="91"/>
      <c r="AH10" s="88"/>
    </row>
    <row r="11" spans="1:34" hidden="1" x14ac:dyDescent="0.3">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row>
    <row r="12" spans="1:34" hidden="1" x14ac:dyDescent="0.3">
      <c r="A12" s="88"/>
      <c r="B12" s="89" t="s">
        <v>168</v>
      </c>
      <c r="C12" s="90">
        <v>1</v>
      </c>
      <c r="D12" s="88"/>
      <c r="E12" s="88" t="s">
        <v>73</v>
      </c>
      <c r="F12" s="91">
        <v>130.85</v>
      </c>
      <c r="G12" s="91">
        <v>47.55</v>
      </c>
      <c r="H12" s="91">
        <v>0.12</v>
      </c>
      <c r="I12" s="91">
        <v>83.3</v>
      </c>
      <c r="J12" s="91">
        <v>11.5</v>
      </c>
      <c r="K12" s="91"/>
      <c r="L12" s="91"/>
      <c r="M12" s="91"/>
      <c r="N12" s="91"/>
      <c r="O12" s="91"/>
      <c r="P12" s="91">
        <v>6.98</v>
      </c>
      <c r="Q12" s="91">
        <v>2.7</v>
      </c>
      <c r="R12" s="91">
        <v>0</v>
      </c>
      <c r="S12" s="91">
        <v>0.25</v>
      </c>
      <c r="T12" s="91">
        <v>2.7</v>
      </c>
      <c r="U12" s="91">
        <v>0</v>
      </c>
      <c r="V12" s="91">
        <v>0</v>
      </c>
      <c r="W12" s="91">
        <v>1.2</v>
      </c>
      <c r="X12" s="91">
        <v>2.88</v>
      </c>
      <c r="Y12" s="91">
        <v>0.95</v>
      </c>
      <c r="Z12" s="91">
        <v>0</v>
      </c>
      <c r="AA12" s="91">
        <v>14.08</v>
      </c>
      <c r="AB12" s="91">
        <v>4.2</v>
      </c>
      <c r="AC12" s="91">
        <v>0</v>
      </c>
      <c r="AD12" s="91">
        <v>0</v>
      </c>
      <c r="AE12" s="87" t="s">
        <v>65</v>
      </c>
      <c r="AF12" s="91"/>
      <c r="AG12" s="91"/>
      <c r="AH12" s="88"/>
    </row>
    <row r="13" spans="1:34" hidden="1" x14ac:dyDescent="0.3">
      <c r="A13" s="88"/>
      <c r="B13" s="89" t="s">
        <v>168</v>
      </c>
      <c r="C13" s="90">
        <v>2</v>
      </c>
      <c r="D13" s="88"/>
      <c r="E13" s="88" t="s">
        <v>74</v>
      </c>
      <c r="F13" s="91">
        <v>145.93</v>
      </c>
      <c r="G13" s="91">
        <v>69.73</v>
      </c>
      <c r="H13" s="91">
        <v>5.23</v>
      </c>
      <c r="I13" s="91">
        <v>76.2</v>
      </c>
      <c r="J13" s="91">
        <v>11.11</v>
      </c>
      <c r="K13" s="91"/>
      <c r="L13" s="91"/>
      <c r="M13" s="91"/>
      <c r="N13" s="91"/>
      <c r="O13" s="91"/>
      <c r="P13" s="91">
        <v>9.27</v>
      </c>
      <c r="Q13" s="91">
        <v>2.93</v>
      </c>
      <c r="R13" s="91">
        <v>0</v>
      </c>
      <c r="S13" s="91">
        <v>1.75</v>
      </c>
      <c r="T13" s="91">
        <v>2</v>
      </c>
      <c r="U13" s="91">
        <v>0</v>
      </c>
      <c r="V13" s="91">
        <v>0.2</v>
      </c>
      <c r="W13" s="91">
        <v>0.8</v>
      </c>
      <c r="X13" s="91">
        <v>4.16</v>
      </c>
      <c r="Y13" s="91">
        <v>0.81</v>
      </c>
      <c r="Z13" s="91">
        <v>10.64</v>
      </c>
      <c r="AA13" s="91">
        <v>14.26</v>
      </c>
      <c r="AB13" s="91">
        <v>6.57</v>
      </c>
      <c r="AC13" s="91">
        <v>0</v>
      </c>
      <c r="AD13" s="91">
        <v>0</v>
      </c>
      <c r="AE13" s="87" t="s">
        <v>65</v>
      </c>
      <c r="AF13" s="88"/>
      <c r="AG13" s="91"/>
      <c r="AH13" s="88"/>
    </row>
    <row r="14" spans="1:34" hidden="1" x14ac:dyDescent="0.3">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row>
    <row r="15" spans="1:34" hidden="1" x14ac:dyDescent="0.3">
      <c r="A15" s="88"/>
      <c r="B15" s="89" t="s">
        <v>169</v>
      </c>
      <c r="C15" s="90">
        <v>1</v>
      </c>
      <c r="D15" s="88"/>
      <c r="E15" s="88" t="s">
        <v>73</v>
      </c>
      <c r="F15" s="91">
        <v>133.74</v>
      </c>
      <c r="G15" s="91">
        <v>49.24</v>
      </c>
      <c r="H15" s="91">
        <v>3.15</v>
      </c>
      <c r="I15" s="91">
        <v>84.5</v>
      </c>
      <c r="J15" s="91">
        <v>9.8000000000000007</v>
      </c>
      <c r="K15" s="91"/>
      <c r="L15" s="91"/>
      <c r="M15" s="91"/>
      <c r="N15" s="91"/>
      <c r="O15" s="91"/>
      <c r="P15" s="91">
        <v>4</v>
      </c>
      <c r="Q15" s="91">
        <v>2.38</v>
      </c>
      <c r="R15" s="91">
        <v>0</v>
      </c>
      <c r="S15" s="91">
        <v>1.33</v>
      </c>
      <c r="T15" s="91">
        <v>4.53</v>
      </c>
      <c r="U15" s="91">
        <v>0</v>
      </c>
      <c r="V15" s="91">
        <v>3.13</v>
      </c>
      <c r="W15" s="91">
        <v>0</v>
      </c>
      <c r="X15" s="91">
        <v>5.55</v>
      </c>
      <c r="Y15" s="91">
        <v>2.65</v>
      </c>
      <c r="Z15" s="91">
        <v>0.78</v>
      </c>
      <c r="AA15" s="91">
        <v>8.3000000000000007</v>
      </c>
      <c r="AB15" s="91">
        <v>3.64</v>
      </c>
      <c r="AC15" s="91">
        <v>0</v>
      </c>
      <c r="AD15" s="91">
        <v>0</v>
      </c>
      <c r="AE15" s="87" t="s">
        <v>66</v>
      </c>
      <c r="AF15" s="88"/>
      <c r="AG15" s="88"/>
      <c r="AH15" s="88"/>
    </row>
    <row r="16" spans="1:34" hidden="1" x14ac:dyDescent="0.3">
      <c r="A16" s="88"/>
      <c r="B16" s="89" t="s">
        <v>169</v>
      </c>
      <c r="C16" s="90">
        <v>2</v>
      </c>
      <c r="D16" s="88"/>
      <c r="E16" s="88" t="s">
        <v>74</v>
      </c>
      <c r="F16" s="91">
        <v>0</v>
      </c>
      <c r="G16" s="91">
        <v>0</v>
      </c>
      <c r="H16" s="91">
        <v>0</v>
      </c>
      <c r="I16" s="91">
        <v>0</v>
      </c>
      <c r="J16" s="91">
        <v>0</v>
      </c>
      <c r="K16" s="91"/>
      <c r="L16" s="91"/>
      <c r="M16" s="91"/>
      <c r="N16" s="91"/>
      <c r="O16" s="91"/>
      <c r="P16" s="91">
        <v>0</v>
      </c>
      <c r="Q16" s="91">
        <v>0</v>
      </c>
      <c r="R16" s="91">
        <v>0</v>
      </c>
      <c r="S16" s="91">
        <v>0</v>
      </c>
      <c r="T16" s="91">
        <v>0</v>
      </c>
      <c r="U16" s="91">
        <v>0</v>
      </c>
      <c r="V16" s="91">
        <v>0</v>
      </c>
      <c r="W16" s="91">
        <v>0</v>
      </c>
      <c r="X16" s="91">
        <v>0</v>
      </c>
      <c r="Y16" s="91">
        <v>0</v>
      </c>
      <c r="Z16" s="91">
        <v>0</v>
      </c>
      <c r="AA16" s="91">
        <v>0</v>
      </c>
      <c r="AB16" s="91">
        <v>0</v>
      </c>
      <c r="AC16" s="91">
        <v>0</v>
      </c>
      <c r="AD16" s="91">
        <v>0</v>
      </c>
      <c r="AE16" s="87" t="s">
        <v>66</v>
      </c>
      <c r="AF16" s="88"/>
      <c r="AG16" s="88"/>
      <c r="AH16" s="88"/>
    </row>
    <row r="17" spans="1:34" hidden="1" x14ac:dyDescent="0.3">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row>
    <row r="18" spans="1:34" hidden="1" x14ac:dyDescent="0.3">
      <c r="A18" s="88"/>
      <c r="B18" s="89" t="s">
        <v>170</v>
      </c>
      <c r="C18" s="90">
        <v>1</v>
      </c>
      <c r="D18" s="88"/>
      <c r="E18" s="88" t="s">
        <v>73</v>
      </c>
      <c r="F18" s="91">
        <v>132.56</v>
      </c>
      <c r="G18" s="91">
        <v>48.86</v>
      </c>
      <c r="H18" s="91">
        <v>3</v>
      </c>
      <c r="I18" s="91">
        <v>83.7</v>
      </c>
      <c r="J18" s="91">
        <v>11.16</v>
      </c>
      <c r="K18" s="91"/>
      <c r="L18" s="91"/>
      <c r="M18" s="91"/>
      <c r="N18" s="91"/>
      <c r="O18" s="91"/>
      <c r="P18" s="91">
        <v>1.91</v>
      </c>
      <c r="Q18" s="91">
        <v>0.79</v>
      </c>
      <c r="R18" s="91">
        <v>0</v>
      </c>
      <c r="S18" s="91">
        <v>1.24</v>
      </c>
      <c r="T18" s="91">
        <v>4.9400000000000004</v>
      </c>
      <c r="U18" s="91">
        <v>0</v>
      </c>
      <c r="V18" s="91">
        <v>2.15</v>
      </c>
      <c r="W18" s="91">
        <v>0</v>
      </c>
      <c r="X18" s="91">
        <v>9.1199999999999992</v>
      </c>
      <c r="Y18" s="91">
        <v>0.99</v>
      </c>
      <c r="Z18" s="91">
        <v>3.53</v>
      </c>
      <c r="AA18" s="91">
        <v>7.47</v>
      </c>
      <c r="AB18" s="91">
        <v>2.5499999999999998</v>
      </c>
      <c r="AC18" s="91">
        <v>0</v>
      </c>
      <c r="AD18" s="91">
        <v>0</v>
      </c>
      <c r="AE18" s="87" t="s">
        <v>66</v>
      </c>
      <c r="AF18" s="88"/>
      <c r="AG18" s="88"/>
      <c r="AH18" s="88"/>
    </row>
    <row r="19" spans="1:34" hidden="1" x14ac:dyDescent="0.3">
      <c r="A19" s="88"/>
      <c r="B19" s="89" t="s">
        <v>170</v>
      </c>
      <c r="C19" s="90">
        <v>2</v>
      </c>
      <c r="D19" s="88"/>
      <c r="E19" s="88" t="s">
        <v>74</v>
      </c>
      <c r="F19" s="91">
        <v>126.9</v>
      </c>
      <c r="G19" s="91">
        <v>53.65</v>
      </c>
      <c r="H19" s="91">
        <v>1.5</v>
      </c>
      <c r="I19" s="91">
        <v>73.25</v>
      </c>
      <c r="J19" s="91">
        <v>6.7</v>
      </c>
      <c r="K19" s="91"/>
      <c r="L19" s="91"/>
      <c r="M19" s="91"/>
      <c r="N19" s="91"/>
      <c r="O19" s="91"/>
      <c r="P19" s="91">
        <v>6.7</v>
      </c>
      <c r="Q19" s="91">
        <v>2.76</v>
      </c>
      <c r="R19" s="91">
        <v>0</v>
      </c>
      <c r="S19" s="91">
        <v>0.72</v>
      </c>
      <c r="T19" s="91">
        <v>3.99</v>
      </c>
      <c r="U19" s="91">
        <v>0</v>
      </c>
      <c r="V19" s="91">
        <v>1.8</v>
      </c>
      <c r="W19" s="91">
        <v>1.32</v>
      </c>
      <c r="X19" s="91">
        <v>11.8</v>
      </c>
      <c r="Y19" s="91">
        <v>1.34</v>
      </c>
      <c r="Z19" s="91">
        <v>0</v>
      </c>
      <c r="AA19" s="91">
        <v>9.6300000000000008</v>
      </c>
      <c r="AB19" s="91">
        <v>5.39</v>
      </c>
      <c r="AC19" s="91">
        <v>0</v>
      </c>
      <c r="AD19" s="91">
        <v>0</v>
      </c>
      <c r="AE19" s="87" t="s">
        <v>66</v>
      </c>
      <c r="AF19" s="88"/>
      <c r="AG19" s="88"/>
      <c r="AH19" s="88"/>
    </row>
    <row r="20" spans="1:34" hidden="1" x14ac:dyDescent="0.3">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row>
    <row r="21" spans="1:34" hidden="1" x14ac:dyDescent="0.3">
      <c r="A21" s="88"/>
      <c r="B21" s="89" t="s">
        <v>171</v>
      </c>
      <c r="C21" s="90">
        <v>1</v>
      </c>
      <c r="D21" s="88"/>
      <c r="E21" s="88" t="s">
        <v>73</v>
      </c>
      <c r="F21" s="91">
        <v>114.87</v>
      </c>
      <c r="G21" s="91">
        <v>39.47</v>
      </c>
      <c r="H21" s="91">
        <v>0</v>
      </c>
      <c r="I21" s="91">
        <v>87.85</v>
      </c>
      <c r="J21" s="91">
        <v>4.9000000000000004</v>
      </c>
      <c r="K21" s="91"/>
      <c r="L21" s="91"/>
      <c r="M21" s="91"/>
      <c r="N21" s="91"/>
      <c r="O21" s="91"/>
      <c r="P21" s="91">
        <v>2.97</v>
      </c>
      <c r="Q21" s="91">
        <v>2.77</v>
      </c>
      <c r="R21" s="91">
        <v>0</v>
      </c>
      <c r="S21" s="91">
        <v>4.6500000000000004</v>
      </c>
      <c r="T21" s="91">
        <v>1.22</v>
      </c>
      <c r="U21" s="91">
        <v>0</v>
      </c>
      <c r="V21" s="91">
        <v>1.7</v>
      </c>
      <c r="W21" s="91">
        <v>0.8</v>
      </c>
      <c r="X21" s="91">
        <v>2</v>
      </c>
      <c r="Y21" s="91">
        <v>0.15</v>
      </c>
      <c r="Z21" s="91">
        <v>3.2</v>
      </c>
      <c r="AA21" s="91">
        <v>13.3</v>
      </c>
      <c r="AB21" s="91">
        <v>1.81</v>
      </c>
      <c r="AC21" s="91">
        <v>0</v>
      </c>
      <c r="AD21" s="91">
        <v>0</v>
      </c>
      <c r="AE21" s="87" t="s">
        <v>66</v>
      </c>
      <c r="AF21" s="88"/>
      <c r="AG21" s="88"/>
      <c r="AH21" s="88"/>
    </row>
    <row r="22" spans="1:34" hidden="1" x14ac:dyDescent="0.3">
      <c r="A22" s="88"/>
      <c r="B22" s="89" t="s">
        <v>171</v>
      </c>
      <c r="C22" s="90">
        <v>2</v>
      </c>
      <c r="D22" s="88"/>
      <c r="E22" s="88" t="s">
        <v>74</v>
      </c>
      <c r="F22" s="91">
        <v>125.31</v>
      </c>
      <c r="G22" s="91">
        <v>54.24</v>
      </c>
      <c r="H22" s="91">
        <v>16.8</v>
      </c>
      <c r="I22" s="91">
        <v>71.069999999999993</v>
      </c>
      <c r="J22" s="91">
        <v>3.65</v>
      </c>
      <c r="K22" s="91"/>
      <c r="L22" s="91"/>
      <c r="M22" s="91"/>
      <c r="N22" s="91"/>
      <c r="O22" s="91"/>
      <c r="P22" s="91">
        <v>3.08</v>
      </c>
      <c r="Q22" s="91">
        <v>1.82</v>
      </c>
      <c r="R22" s="91">
        <v>1.66</v>
      </c>
      <c r="S22" s="91">
        <v>0.83</v>
      </c>
      <c r="T22" s="91">
        <v>5.17</v>
      </c>
      <c r="U22" s="91">
        <v>0</v>
      </c>
      <c r="V22" s="91">
        <v>2.62</v>
      </c>
      <c r="W22" s="91">
        <v>0</v>
      </c>
      <c r="X22" s="91">
        <v>9.1</v>
      </c>
      <c r="Y22" s="91">
        <v>0.48</v>
      </c>
      <c r="Z22" s="91">
        <v>3.45</v>
      </c>
      <c r="AA22" s="91">
        <v>4.04</v>
      </c>
      <c r="AB22" s="91">
        <v>1.54</v>
      </c>
      <c r="AC22" s="91">
        <v>0</v>
      </c>
      <c r="AD22" s="91">
        <v>0</v>
      </c>
      <c r="AE22" s="87" t="s">
        <v>66</v>
      </c>
      <c r="AF22" s="88"/>
      <c r="AG22" s="88"/>
      <c r="AH22" s="88"/>
    </row>
    <row r="23" spans="1:34" hidden="1" x14ac:dyDescent="0.3">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row>
    <row r="24" spans="1:34" hidden="1" x14ac:dyDescent="0.3">
      <c r="A24" s="88"/>
      <c r="B24" s="89">
        <v>44197</v>
      </c>
      <c r="C24" s="90"/>
      <c r="D24" s="88"/>
      <c r="E24" s="88" t="s">
        <v>75</v>
      </c>
      <c r="F24" s="91">
        <v>597.91999999999996</v>
      </c>
      <c r="G24" s="91">
        <v>177.34</v>
      </c>
      <c r="H24" s="91">
        <v>5.52</v>
      </c>
      <c r="I24" s="91">
        <v>420.58</v>
      </c>
      <c r="J24" s="91">
        <v>39.6</v>
      </c>
      <c r="K24" s="91"/>
      <c r="L24" s="91"/>
      <c r="M24" s="91"/>
      <c r="N24" s="91"/>
      <c r="O24" s="91"/>
      <c r="P24" s="91">
        <v>2.84</v>
      </c>
      <c r="Q24" s="91">
        <v>2.1</v>
      </c>
      <c r="R24" s="91">
        <v>0</v>
      </c>
      <c r="S24" s="91">
        <v>14.15</v>
      </c>
      <c r="T24" s="91">
        <v>50.18</v>
      </c>
      <c r="U24" s="91">
        <v>0</v>
      </c>
      <c r="V24" s="91">
        <v>2.9</v>
      </c>
      <c r="W24" s="91">
        <v>0</v>
      </c>
      <c r="X24" s="91">
        <v>38.630000000000003</v>
      </c>
      <c r="Y24" s="91">
        <v>9.2899999999999991</v>
      </c>
      <c r="Z24" s="91">
        <v>0.72</v>
      </c>
      <c r="AA24" s="91">
        <v>9.31</v>
      </c>
      <c r="AB24" s="91">
        <v>2.11</v>
      </c>
      <c r="AC24" s="91">
        <v>0</v>
      </c>
      <c r="AD24" s="91">
        <v>0</v>
      </c>
      <c r="AE24" s="87" t="s">
        <v>68</v>
      </c>
      <c r="AF24" s="88"/>
      <c r="AG24" s="88"/>
      <c r="AH24" s="88"/>
    </row>
    <row r="25" spans="1:34" hidden="1" x14ac:dyDescent="0.3">
      <c r="A25" s="88"/>
      <c r="B25" s="89">
        <v>44197</v>
      </c>
      <c r="C25" s="90">
        <v>1</v>
      </c>
      <c r="D25" s="88"/>
      <c r="E25" s="88" t="s">
        <v>73</v>
      </c>
      <c r="F25" s="91">
        <v>407.12</v>
      </c>
      <c r="G25" s="91">
        <v>150.71</v>
      </c>
      <c r="H25" s="91">
        <v>5.52</v>
      </c>
      <c r="I25" s="91">
        <v>256.41000000000003</v>
      </c>
      <c r="J25" s="91">
        <v>35.049999999999997</v>
      </c>
      <c r="K25" s="91"/>
      <c r="L25" s="91"/>
      <c r="M25" s="91"/>
      <c r="N25" s="91"/>
      <c r="O25" s="91"/>
      <c r="P25" s="91">
        <v>2.64</v>
      </c>
      <c r="Q25" s="91">
        <v>1.8</v>
      </c>
      <c r="R25" s="91">
        <v>0</v>
      </c>
      <c r="S25" s="91">
        <v>11.9</v>
      </c>
      <c r="T25" s="91">
        <v>44.38</v>
      </c>
      <c r="U25" s="91">
        <v>0</v>
      </c>
      <c r="V25" s="91">
        <v>2.02</v>
      </c>
      <c r="W25" s="91">
        <v>0</v>
      </c>
      <c r="X25" s="91">
        <v>34.18</v>
      </c>
      <c r="Y25" s="91">
        <v>7.89</v>
      </c>
      <c r="Z25" s="91">
        <v>0.72</v>
      </c>
      <c r="AA25" s="91">
        <v>3.36</v>
      </c>
      <c r="AB25" s="91">
        <v>1.26</v>
      </c>
      <c r="AC25" s="91">
        <v>0</v>
      </c>
      <c r="AD25" s="91">
        <v>0</v>
      </c>
      <c r="AE25" s="87" t="s">
        <v>68</v>
      </c>
      <c r="AF25" s="88"/>
      <c r="AG25" s="88"/>
      <c r="AH25" s="88"/>
    </row>
    <row r="26" spans="1:34" hidden="1" x14ac:dyDescent="0.3">
      <c r="A26" s="88"/>
      <c r="B26" s="89">
        <v>44197</v>
      </c>
      <c r="C26" s="88">
        <v>2</v>
      </c>
      <c r="D26" s="88"/>
      <c r="E26" s="88" t="s">
        <v>74</v>
      </c>
      <c r="F26" s="91">
        <v>190.8</v>
      </c>
      <c r="G26" s="91">
        <v>26.63</v>
      </c>
      <c r="H26" s="91">
        <v>0</v>
      </c>
      <c r="I26" s="91">
        <v>164.17</v>
      </c>
      <c r="J26" s="91">
        <v>4.55</v>
      </c>
      <c r="K26" s="91"/>
      <c r="L26" s="91"/>
      <c r="M26" s="91"/>
      <c r="N26" s="91"/>
      <c r="O26" s="91"/>
      <c r="P26" s="91">
        <v>0.2</v>
      </c>
      <c r="Q26" s="91">
        <v>0.3</v>
      </c>
      <c r="R26" s="91">
        <v>0</v>
      </c>
      <c r="S26" s="91">
        <v>2.25</v>
      </c>
      <c r="T26" s="91">
        <v>5.8</v>
      </c>
      <c r="U26" s="91">
        <v>0</v>
      </c>
      <c r="V26" s="91">
        <v>0.88</v>
      </c>
      <c r="W26" s="91">
        <v>0</v>
      </c>
      <c r="X26" s="91">
        <v>4.45</v>
      </c>
      <c r="Y26" s="91">
        <v>1.4</v>
      </c>
      <c r="Z26" s="91">
        <v>0</v>
      </c>
      <c r="AA26" s="91">
        <v>5.95</v>
      </c>
      <c r="AB26" s="91">
        <v>0.85</v>
      </c>
      <c r="AC26" s="91">
        <v>0</v>
      </c>
      <c r="AD26" s="91">
        <v>0</v>
      </c>
      <c r="AE26" s="87" t="s">
        <v>68</v>
      </c>
      <c r="AF26" s="88"/>
      <c r="AG26" s="88"/>
      <c r="AH26" s="88"/>
    </row>
    <row r="27" spans="1:34" hidden="1" x14ac:dyDescent="0.3">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row>
    <row r="28" spans="1:34" hidden="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row>
    <row r="29" spans="1:34" hidden="1" x14ac:dyDescent="0.3">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row>
    <row r="30" spans="1:34" hidden="1" x14ac:dyDescent="0.3">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row>
    <row r="31" spans="1:34" hidden="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row>
    <row r="32" spans="1:34" x14ac:dyDescent="0.3">
      <c r="A32" s="86"/>
      <c r="B32" s="89" t="s">
        <v>165</v>
      </c>
      <c r="C32" s="59"/>
      <c r="D32" s="86"/>
      <c r="E32" s="88" t="s">
        <v>75</v>
      </c>
      <c r="F32" s="54">
        <v>165.85</v>
      </c>
      <c r="G32" s="54">
        <f>SUM(J32:O32)+AD32+H32</f>
        <v>76.850000000000009</v>
      </c>
      <c r="H32" s="54">
        <v>2.4500000000000002</v>
      </c>
      <c r="I32" s="54">
        <v>89</v>
      </c>
      <c r="J32" s="54">
        <v>20.399999999999999</v>
      </c>
      <c r="K32" s="54">
        <f>SUM(P32:R32)</f>
        <v>11.65</v>
      </c>
      <c r="L32" s="54">
        <f>SUM(S32:U32)</f>
        <v>3.5</v>
      </c>
      <c r="M32" s="54">
        <f>SUM(V32:W32)</f>
        <v>4.0999999999999996</v>
      </c>
      <c r="N32" s="54">
        <f>SUM(X32:Z32)</f>
        <v>9.25</v>
      </c>
      <c r="O32" s="54">
        <f>SUM(AA32:AC32)</f>
        <v>25.5</v>
      </c>
      <c r="P32" s="54">
        <v>5.7</v>
      </c>
      <c r="Q32" s="54">
        <v>5.95</v>
      </c>
      <c r="R32" s="54">
        <v>0</v>
      </c>
      <c r="S32" s="54">
        <v>2.75</v>
      </c>
      <c r="T32" s="54">
        <v>0.75</v>
      </c>
      <c r="U32" s="54">
        <v>0</v>
      </c>
      <c r="V32" s="54">
        <v>2.35</v>
      </c>
      <c r="W32" s="54">
        <v>1.75</v>
      </c>
      <c r="X32" s="54">
        <v>6.6</v>
      </c>
      <c r="Y32" s="54">
        <v>2.65</v>
      </c>
      <c r="Z32" s="54">
        <v>0</v>
      </c>
      <c r="AA32" s="54">
        <v>20.8</v>
      </c>
      <c r="AB32" s="54">
        <v>4.7</v>
      </c>
      <c r="AC32" s="54">
        <v>0</v>
      </c>
      <c r="AD32" s="54">
        <v>0</v>
      </c>
      <c r="AE32" s="87" t="s">
        <v>64</v>
      </c>
      <c r="AF32" s="87"/>
      <c r="AG32" s="87"/>
      <c r="AH32" s="54"/>
    </row>
    <row r="33" spans="1:34" x14ac:dyDescent="0.3">
      <c r="A33" s="86"/>
      <c r="B33" s="89" t="s">
        <v>166</v>
      </c>
      <c r="C33" s="59"/>
      <c r="D33" s="86"/>
      <c r="E33" s="88" t="s">
        <v>75</v>
      </c>
      <c r="F33" s="54">
        <v>212.7</v>
      </c>
      <c r="G33" s="54">
        <f t="shared" ref="G33:G38" si="0">SUM(J33:O33)+AD33+H33</f>
        <v>90.31</v>
      </c>
      <c r="H33" s="54">
        <v>2.4500000000000002</v>
      </c>
      <c r="I33" s="54">
        <v>122.4</v>
      </c>
      <c r="J33" s="54">
        <v>22.95</v>
      </c>
      <c r="K33" s="54">
        <f t="shared" ref="K33:K38" si="1">SUM(P33:R33)</f>
        <v>11</v>
      </c>
      <c r="L33" s="54">
        <f t="shared" ref="L33:L38" si="2">SUM(S33:U33)</f>
        <v>15.299999999999999</v>
      </c>
      <c r="M33" s="54">
        <f t="shared" ref="M33:M38" si="3">SUM(V33:W33)</f>
        <v>3.26</v>
      </c>
      <c r="N33" s="54">
        <f t="shared" ref="N33:N38" si="4">SUM(X33:Z33)</f>
        <v>12.85</v>
      </c>
      <c r="O33" s="54">
        <f t="shared" ref="O33:O38" si="5">SUM(AA33:AC33)</f>
        <v>22.5</v>
      </c>
      <c r="P33" s="54">
        <v>7.8</v>
      </c>
      <c r="Q33" s="54">
        <v>3.2</v>
      </c>
      <c r="R33" s="54">
        <v>0</v>
      </c>
      <c r="S33" s="54">
        <v>10.199999999999999</v>
      </c>
      <c r="T33" s="54">
        <v>5.0999999999999996</v>
      </c>
      <c r="U33" s="54">
        <v>0</v>
      </c>
      <c r="V33" s="54">
        <v>2.08</v>
      </c>
      <c r="W33" s="54">
        <v>1.18</v>
      </c>
      <c r="X33" s="54">
        <v>11</v>
      </c>
      <c r="Y33" s="54">
        <v>1.85</v>
      </c>
      <c r="Z33" s="54">
        <v>0</v>
      </c>
      <c r="AA33" s="54">
        <v>17.75</v>
      </c>
      <c r="AB33" s="54">
        <v>4.1500000000000004</v>
      </c>
      <c r="AC33" s="54">
        <v>0.6</v>
      </c>
      <c r="AD33" s="54">
        <v>0</v>
      </c>
      <c r="AE33" s="84" t="s">
        <v>66</v>
      </c>
      <c r="AF33" s="86"/>
      <c r="AG33" s="54"/>
      <c r="AH33" s="54"/>
    </row>
    <row r="34" spans="1:34" ht="16.05" customHeight="1" x14ac:dyDescent="0.3">
      <c r="A34" s="86"/>
      <c r="B34" s="89" t="s">
        <v>167</v>
      </c>
      <c r="C34" s="59"/>
      <c r="D34" s="86"/>
      <c r="E34" s="88" t="s">
        <v>75</v>
      </c>
      <c r="F34" s="54">
        <v>111</v>
      </c>
      <c r="G34" s="54">
        <f t="shared" si="0"/>
        <v>64.349999999999994</v>
      </c>
      <c r="H34" s="54">
        <v>0</v>
      </c>
      <c r="I34" s="54">
        <v>46.65</v>
      </c>
      <c r="J34" s="54">
        <v>9.02</v>
      </c>
      <c r="K34" s="54">
        <f t="shared" si="1"/>
        <v>6.38</v>
      </c>
      <c r="L34" s="54">
        <f t="shared" si="2"/>
        <v>6.63</v>
      </c>
      <c r="M34" s="54">
        <f t="shared" si="3"/>
        <v>0.9</v>
      </c>
      <c r="N34" s="54">
        <f t="shared" si="4"/>
        <v>19.28</v>
      </c>
      <c r="O34" s="54">
        <f t="shared" si="5"/>
        <v>22.14</v>
      </c>
      <c r="P34" s="54">
        <v>4.99</v>
      </c>
      <c r="Q34" s="54">
        <v>1.39</v>
      </c>
      <c r="R34" s="54">
        <v>0</v>
      </c>
      <c r="S34" s="54">
        <v>0.49</v>
      </c>
      <c r="T34" s="54">
        <v>6.14</v>
      </c>
      <c r="U34" s="54">
        <v>0</v>
      </c>
      <c r="V34" s="54">
        <v>0.9</v>
      </c>
      <c r="W34" s="54">
        <v>0</v>
      </c>
      <c r="X34" s="54">
        <v>18.649999999999999</v>
      </c>
      <c r="Y34" s="54">
        <v>0.53</v>
      </c>
      <c r="Z34" s="54">
        <v>0.1</v>
      </c>
      <c r="AA34" s="54">
        <v>17.16</v>
      </c>
      <c r="AB34" s="54">
        <v>4.32</v>
      </c>
      <c r="AC34" s="54">
        <v>0.66</v>
      </c>
      <c r="AD34" s="54">
        <v>0</v>
      </c>
      <c r="AE34" s="87" t="s">
        <v>67</v>
      </c>
      <c r="AF34" s="87"/>
      <c r="AG34" s="54"/>
      <c r="AH34" s="86"/>
    </row>
    <row r="35" spans="1:34" x14ac:dyDescent="0.3">
      <c r="A35" s="86"/>
      <c r="B35" s="89" t="s">
        <v>168</v>
      </c>
      <c r="C35" s="59"/>
      <c r="D35" s="86"/>
      <c r="E35" s="88" t="s">
        <v>75</v>
      </c>
      <c r="F35" s="54">
        <v>276.77999999999997</v>
      </c>
      <c r="G35" s="54">
        <f t="shared" si="0"/>
        <v>117.285</v>
      </c>
      <c r="H35" s="54">
        <v>5.35</v>
      </c>
      <c r="I35" s="54">
        <v>159.5</v>
      </c>
      <c r="J35" s="54">
        <f>SUM('2. Thanh phan hon hop CTR'!H12:H13)</f>
        <v>22.61</v>
      </c>
      <c r="K35" s="54">
        <f>SUM(P35:R35)</f>
        <v>21.874999999999996</v>
      </c>
      <c r="L35" s="54">
        <f t="shared" si="2"/>
        <v>6.7</v>
      </c>
      <c r="M35" s="54">
        <f t="shared" si="3"/>
        <v>2.2000000000000002</v>
      </c>
      <c r="N35" s="54">
        <f t="shared" si="4"/>
        <v>19.440000000000001</v>
      </c>
      <c r="O35" s="54">
        <f t="shared" si="5"/>
        <v>39.11</v>
      </c>
      <c r="P35" s="3">
        <v>16.244999999999997</v>
      </c>
      <c r="Q35" s="54">
        <v>5.63</v>
      </c>
      <c r="R35" s="54">
        <v>0</v>
      </c>
      <c r="S35" s="54">
        <v>2</v>
      </c>
      <c r="T35" s="54">
        <v>4.7</v>
      </c>
      <c r="U35" s="54">
        <v>0</v>
      </c>
      <c r="V35" s="54">
        <v>0.2</v>
      </c>
      <c r="W35" s="54">
        <v>2</v>
      </c>
      <c r="X35" s="54">
        <v>7.04</v>
      </c>
      <c r="Y35" s="54">
        <v>1.76</v>
      </c>
      <c r="Z35" s="54">
        <v>10.64</v>
      </c>
      <c r="AA35" s="54">
        <v>28.34</v>
      </c>
      <c r="AB35" s="54">
        <v>10.77</v>
      </c>
      <c r="AC35" s="54">
        <v>0</v>
      </c>
      <c r="AD35" s="54">
        <v>0</v>
      </c>
      <c r="AE35" s="87" t="s">
        <v>65</v>
      </c>
      <c r="AF35" s="87"/>
      <c r="AG35" s="54"/>
      <c r="AH35" s="86"/>
    </row>
    <row r="36" spans="1:34" x14ac:dyDescent="0.3">
      <c r="A36" s="86"/>
      <c r="B36" s="89" t="s">
        <v>169</v>
      </c>
      <c r="C36" s="59"/>
      <c r="D36" s="86"/>
      <c r="E36" s="88" t="s">
        <v>75</v>
      </c>
      <c r="F36" s="54">
        <v>133.74</v>
      </c>
      <c r="G36" s="54">
        <f t="shared" si="0"/>
        <v>49.24</v>
      </c>
      <c r="H36" s="54">
        <v>3.15</v>
      </c>
      <c r="I36" s="54">
        <v>84.5</v>
      </c>
      <c r="J36" s="54">
        <v>9.8000000000000007</v>
      </c>
      <c r="K36" s="54">
        <f t="shared" si="1"/>
        <v>6.38</v>
      </c>
      <c r="L36" s="54">
        <f t="shared" si="2"/>
        <v>5.86</v>
      </c>
      <c r="M36" s="54">
        <f t="shared" si="3"/>
        <v>3.13</v>
      </c>
      <c r="N36" s="54">
        <f t="shared" si="4"/>
        <v>8.9799999999999986</v>
      </c>
      <c r="O36" s="54">
        <f t="shared" si="5"/>
        <v>11.940000000000001</v>
      </c>
      <c r="P36" s="54">
        <v>4</v>
      </c>
      <c r="Q36" s="54">
        <v>2.38</v>
      </c>
      <c r="R36" s="54">
        <v>0</v>
      </c>
      <c r="S36" s="54">
        <v>1.33</v>
      </c>
      <c r="T36" s="54">
        <v>4.53</v>
      </c>
      <c r="U36" s="54">
        <v>0</v>
      </c>
      <c r="V36" s="54">
        <v>3.13</v>
      </c>
      <c r="W36" s="54">
        <v>0</v>
      </c>
      <c r="X36" s="54">
        <v>5.55</v>
      </c>
      <c r="Y36" s="54">
        <v>2.65</v>
      </c>
      <c r="Z36" s="54">
        <v>0.78</v>
      </c>
      <c r="AA36" s="54">
        <v>8.3000000000000007</v>
      </c>
      <c r="AB36" s="54">
        <v>3.64</v>
      </c>
      <c r="AC36" s="54">
        <v>0</v>
      </c>
      <c r="AD36" s="54">
        <v>0</v>
      </c>
      <c r="AE36" s="87" t="s">
        <v>66</v>
      </c>
      <c r="AF36" s="87"/>
      <c r="AG36" s="86"/>
      <c r="AH36" s="86"/>
    </row>
    <row r="37" spans="1:34" x14ac:dyDescent="0.3">
      <c r="A37" s="86"/>
      <c r="B37" s="89" t="s">
        <v>170</v>
      </c>
      <c r="C37" s="59"/>
      <c r="D37" s="86"/>
      <c r="E37" s="88" t="s">
        <v>75</v>
      </c>
      <c r="F37" s="54">
        <v>259.45999999999998</v>
      </c>
      <c r="G37" s="54">
        <f t="shared" si="0"/>
        <v>102.50000000000001</v>
      </c>
      <c r="H37" s="54">
        <v>4.5</v>
      </c>
      <c r="I37" s="54">
        <v>156.94999999999999</v>
      </c>
      <c r="J37" s="54">
        <v>17.86</v>
      </c>
      <c r="K37" s="54">
        <f t="shared" si="1"/>
        <v>12.16</v>
      </c>
      <c r="L37" s="54">
        <f t="shared" si="2"/>
        <v>10.89</v>
      </c>
      <c r="M37" s="54">
        <f t="shared" si="3"/>
        <v>5.2700000000000005</v>
      </c>
      <c r="N37" s="54">
        <f t="shared" si="4"/>
        <v>26.78</v>
      </c>
      <c r="O37" s="54">
        <f t="shared" si="5"/>
        <v>25.040000000000003</v>
      </c>
      <c r="P37" s="54">
        <v>8.61</v>
      </c>
      <c r="Q37" s="54">
        <v>3.55</v>
      </c>
      <c r="R37" s="54">
        <v>0</v>
      </c>
      <c r="S37" s="54">
        <v>1.96</v>
      </c>
      <c r="T37" s="54">
        <v>8.93</v>
      </c>
      <c r="U37" s="54">
        <v>0</v>
      </c>
      <c r="V37" s="54">
        <v>3.95</v>
      </c>
      <c r="W37" s="54">
        <v>1.32</v>
      </c>
      <c r="X37" s="54">
        <v>20.92</v>
      </c>
      <c r="Y37" s="54">
        <v>2.33</v>
      </c>
      <c r="Z37" s="54">
        <v>3.53</v>
      </c>
      <c r="AA37" s="54">
        <v>17.100000000000001</v>
      </c>
      <c r="AB37" s="54">
        <v>7.94</v>
      </c>
      <c r="AC37" s="54">
        <v>0</v>
      </c>
      <c r="AD37" s="54">
        <v>0</v>
      </c>
      <c r="AE37" s="87" t="s">
        <v>66</v>
      </c>
      <c r="AF37" s="87"/>
      <c r="AG37" s="86"/>
      <c r="AH37" s="86"/>
    </row>
    <row r="38" spans="1:34" x14ac:dyDescent="0.3">
      <c r="A38" s="86"/>
      <c r="B38" s="89" t="s">
        <v>171</v>
      </c>
      <c r="C38" s="59"/>
      <c r="D38" s="86"/>
      <c r="E38" s="88" t="s">
        <v>75</v>
      </c>
      <c r="F38" s="54">
        <v>240.18</v>
      </c>
      <c r="G38" s="54">
        <f t="shared" si="0"/>
        <v>93.71</v>
      </c>
      <c r="H38" s="54">
        <v>16.8</v>
      </c>
      <c r="I38" s="54">
        <v>158.91999999999999</v>
      </c>
      <c r="J38" s="54">
        <v>8.5500000000000007</v>
      </c>
      <c r="K38" s="54">
        <f t="shared" si="1"/>
        <v>12.3</v>
      </c>
      <c r="L38" s="54">
        <f t="shared" si="2"/>
        <v>11.870000000000001</v>
      </c>
      <c r="M38" s="54">
        <f t="shared" si="3"/>
        <v>5.12</v>
      </c>
      <c r="N38" s="54">
        <f t="shared" si="4"/>
        <v>18.380000000000003</v>
      </c>
      <c r="O38" s="54">
        <f t="shared" si="5"/>
        <v>20.69</v>
      </c>
      <c r="P38" s="54">
        <v>6.05</v>
      </c>
      <c r="Q38" s="54">
        <v>4.59</v>
      </c>
      <c r="R38" s="54">
        <v>1.66</v>
      </c>
      <c r="S38" s="54">
        <v>5.48</v>
      </c>
      <c r="T38" s="54">
        <v>6.39</v>
      </c>
      <c r="U38" s="54">
        <v>0</v>
      </c>
      <c r="V38" s="54">
        <v>4.32</v>
      </c>
      <c r="W38" s="54">
        <v>0.8</v>
      </c>
      <c r="X38" s="54">
        <v>11.1</v>
      </c>
      <c r="Y38" s="54">
        <v>0.63</v>
      </c>
      <c r="Z38" s="54">
        <v>6.65</v>
      </c>
      <c r="AA38" s="54">
        <v>17.34</v>
      </c>
      <c r="AB38" s="54">
        <v>3.35</v>
      </c>
      <c r="AC38" s="54">
        <v>0</v>
      </c>
      <c r="AD38" s="54">
        <v>0</v>
      </c>
      <c r="AE38" s="87" t="s">
        <v>66</v>
      </c>
      <c r="AF38" s="87"/>
      <c r="AG38" s="86"/>
      <c r="AH38" s="86"/>
    </row>
    <row r="41" spans="1:34" x14ac:dyDescent="0.3">
      <c r="P41" s="158" t="s">
        <v>1</v>
      </c>
      <c r="Q41" s="158"/>
      <c r="R41" s="158"/>
      <c r="S41" s="158" t="s">
        <v>5</v>
      </c>
      <c r="T41" s="158"/>
      <c r="U41" s="158"/>
      <c r="V41" s="158" t="s">
        <v>6</v>
      </c>
      <c r="W41" s="158"/>
      <c r="X41" s="158" t="s">
        <v>7</v>
      </c>
      <c r="Y41" s="158"/>
      <c r="Z41" s="158"/>
      <c r="AA41" s="158" t="s">
        <v>9</v>
      </c>
      <c r="AB41" s="158"/>
      <c r="AC41" s="158"/>
    </row>
    <row r="42" spans="1:34" s="72" customFormat="1" x14ac:dyDescent="0.3">
      <c r="C42" s="94"/>
      <c r="F42" s="72" t="s">
        <v>180</v>
      </c>
      <c r="G42" s="94" t="s">
        <v>177</v>
      </c>
      <c r="H42" s="72" t="s">
        <v>179</v>
      </c>
      <c r="J42" s="72" t="s">
        <v>178</v>
      </c>
      <c r="K42" s="72" t="s">
        <v>172</v>
      </c>
      <c r="L42" s="72" t="s">
        <v>173</v>
      </c>
      <c r="M42" s="72" t="s">
        <v>174</v>
      </c>
      <c r="N42" s="72" t="s">
        <v>175</v>
      </c>
      <c r="O42" s="72" t="s">
        <v>176</v>
      </c>
      <c r="P42" s="84" t="s">
        <v>2</v>
      </c>
      <c r="Q42" s="84" t="s">
        <v>3</v>
      </c>
      <c r="R42" s="84" t="s">
        <v>4</v>
      </c>
      <c r="S42" s="84" t="s">
        <v>18</v>
      </c>
      <c r="T42" s="84" t="s">
        <v>19</v>
      </c>
      <c r="U42" s="84" t="s">
        <v>22</v>
      </c>
      <c r="V42" s="84" t="s">
        <v>20</v>
      </c>
      <c r="W42" s="84" t="s">
        <v>21</v>
      </c>
      <c r="X42" s="84" t="s">
        <v>8</v>
      </c>
      <c r="Y42" s="84" t="s">
        <v>15</v>
      </c>
      <c r="Z42" s="84" t="s">
        <v>24</v>
      </c>
      <c r="AA42" s="84" t="s">
        <v>10</v>
      </c>
      <c r="AB42" s="84" t="s">
        <v>11</v>
      </c>
      <c r="AC42" s="84" t="s">
        <v>23</v>
      </c>
    </row>
    <row r="43" spans="1:34" x14ac:dyDescent="0.3">
      <c r="C43" s="94"/>
      <c r="F43" s="92">
        <f t="shared" ref="F43:F49" si="6">I32/F32</f>
        <v>0.53662948447392222</v>
      </c>
      <c r="G43" s="92">
        <f>G32/F32</f>
        <v>0.46337051552607783</v>
      </c>
      <c r="H43" s="92">
        <f>H32/G32</f>
        <v>3.1880286271958359E-2</v>
      </c>
      <c r="J43" s="92">
        <f>J32/G32</f>
        <v>0.26545217957059203</v>
      </c>
      <c r="K43" s="92">
        <f>K32/G32</f>
        <v>0.1515940143135979</v>
      </c>
      <c r="L43" s="92">
        <f>L32/G32</f>
        <v>4.5543266102797651E-2</v>
      </c>
      <c r="M43" s="92">
        <f>M32/G32</f>
        <v>5.335068314899153E-2</v>
      </c>
      <c r="N43" s="92">
        <f>N32/G32</f>
        <v>0.12036434612882237</v>
      </c>
      <c r="O43" s="92">
        <f>O32/G32</f>
        <v>0.33181522446324002</v>
      </c>
      <c r="P43" s="92">
        <f>P32/K32</f>
        <v>0.48927038626609443</v>
      </c>
      <c r="Q43" s="92">
        <f>Q32/K32</f>
        <v>0.51072961373390557</v>
      </c>
      <c r="R43" s="92">
        <f t="shared" ref="R43:S49" si="7">R32/K32</f>
        <v>0</v>
      </c>
      <c r="S43" s="92">
        <f t="shared" si="7"/>
        <v>0.7857142857142857</v>
      </c>
      <c r="T43" s="92">
        <f>T32/L32</f>
        <v>0.21428571428571427</v>
      </c>
      <c r="U43" s="92">
        <f t="shared" ref="U43:V49" si="8">U32/L32</f>
        <v>0</v>
      </c>
      <c r="V43" s="92">
        <f t="shared" si="8"/>
        <v>0.57317073170731714</v>
      </c>
      <c r="W43" s="92">
        <f t="shared" ref="W43:X49" si="9">W32/M32</f>
        <v>0.42682926829268297</v>
      </c>
      <c r="X43" s="92">
        <f t="shared" si="9"/>
        <v>0.71351351351351344</v>
      </c>
      <c r="Y43" s="92">
        <f>Y32/N32</f>
        <v>0.2864864864864865</v>
      </c>
      <c r="Z43" s="92">
        <f t="shared" ref="Z43:AA49" si="10">Z32/N32</f>
        <v>0</v>
      </c>
      <c r="AA43" s="92">
        <f t="shared" si="10"/>
        <v>0.81568627450980391</v>
      </c>
      <c r="AB43" s="92">
        <f>AB32/O32</f>
        <v>0.18431372549019609</v>
      </c>
      <c r="AC43" s="92">
        <f>AD32/O32</f>
        <v>0</v>
      </c>
    </row>
    <row r="44" spans="1:34" x14ac:dyDescent="0.3">
      <c r="C44" s="94"/>
      <c r="F44" s="92">
        <f t="shared" si="6"/>
        <v>0.57545839210155159</v>
      </c>
      <c r="G44" s="92">
        <f t="shared" ref="G44:H49" si="11">G33/F33</f>
        <v>0.42458862247296664</v>
      </c>
      <c r="H44" s="92">
        <f t="shared" si="11"/>
        <v>2.7128778651312149E-2</v>
      </c>
      <c r="J44" s="92">
        <f t="shared" ref="J44:J49" si="12">J33/G33</f>
        <v>0.25412468165208724</v>
      </c>
      <c r="K44" s="92">
        <f t="shared" ref="K44:K49" si="13">K33/G33</f>
        <v>0.1218026796589525</v>
      </c>
      <c r="L44" s="92">
        <f t="shared" ref="L44:L49" si="14">L33/G33</f>
        <v>0.16941645443472483</v>
      </c>
      <c r="M44" s="92">
        <f t="shared" ref="M44:M49" si="15">M33/G33</f>
        <v>3.6097885062562285E-2</v>
      </c>
      <c r="N44" s="92">
        <f t="shared" ref="N44:N49" si="16">N33/G33</f>
        <v>0.14228767578341267</v>
      </c>
      <c r="O44" s="92">
        <f t="shared" ref="O44:O49" si="17">O33/G33</f>
        <v>0.24914184475694828</v>
      </c>
      <c r="P44" s="92">
        <f t="shared" ref="P44:P49" si="18">P33/K33</f>
        <v>0.70909090909090911</v>
      </c>
      <c r="Q44" s="92">
        <f t="shared" ref="Q44:Q49" si="19">Q33/K33</f>
        <v>0.29090909090909095</v>
      </c>
      <c r="R44" s="92">
        <f t="shared" si="7"/>
        <v>0</v>
      </c>
      <c r="S44" s="92">
        <f t="shared" si="7"/>
        <v>0.66666666666666663</v>
      </c>
      <c r="T44" s="92">
        <f t="shared" ref="T44:T49" si="20">T33/L33</f>
        <v>0.33333333333333331</v>
      </c>
      <c r="U44" s="92">
        <f t="shared" si="8"/>
        <v>0</v>
      </c>
      <c r="V44" s="92">
        <f t="shared" si="8"/>
        <v>0.63803680981595101</v>
      </c>
      <c r="W44" s="92">
        <f t="shared" si="9"/>
        <v>0.3619631901840491</v>
      </c>
      <c r="X44" s="92">
        <f t="shared" si="9"/>
        <v>0.85603112840466933</v>
      </c>
      <c r="Y44" s="92">
        <f t="shared" ref="Y44:Y49" si="21">Y33/N33</f>
        <v>0.14396887159533076</v>
      </c>
      <c r="Z44" s="92">
        <f t="shared" si="10"/>
        <v>0</v>
      </c>
      <c r="AA44" s="92">
        <f t="shared" si="10"/>
        <v>0.78888888888888886</v>
      </c>
      <c r="AB44" s="92">
        <f t="shared" ref="AB44:AB49" si="22">AB33/O33</f>
        <v>0.18444444444444447</v>
      </c>
      <c r="AC44" s="92">
        <f t="shared" ref="AC44:AC49" si="23">AD33/O33</f>
        <v>0</v>
      </c>
    </row>
    <row r="45" spans="1:34" x14ac:dyDescent="0.3">
      <c r="C45" s="94"/>
      <c r="F45" s="92">
        <f t="shared" si="6"/>
        <v>0.42027027027027025</v>
      </c>
      <c r="G45" s="92">
        <f t="shared" si="11"/>
        <v>0.57972972972972969</v>
      </c>
      <c r="H45" s="92">
        <f t="shared" si="11"/>
        <v>0</v>
      </c>
      <c r="J45" s="92">
        <f t="shared" si="12"/>
        <v>0.14017094017094017</v>
      </c>
      <c r="K45" s="92">
        <f t="shared" si="13"/>
        <v>9.9145299145299154E-2</v>
      </c>
      <c r="L45" s="92">
        <f t="shared" si="14"/>
        <v>0.10303030303030304</v>
      </c>
      <c r="M45" s="92">
        <f t="shared" si="15"/>
        <v>1.3986013986013988E-2</v>
      </c>
      <c r="N45" s="92">
        <f t="shared" si="16"/>
        <v>0.29961149961149963</v>
      </c>
      <c r="O45" s="92">
        <f t="shared" si="17"/>
        <v>0.34405594405594409</v>
      </c>
      <c r="P45" s="92">
        <f t="shared" si="18"/>
        <v>0.7821316614420063</v>
      </c>
      <c r="Q45" s="92">
        <f t="shared" si="19"/>
        <v>0.21786833855799373</v>
      </c>
      <c r="R45" s="92">
        <f t="shared" si="7"/>
        <v>0</v>
      </c>
      <c r="S45" s="92">
        <f t="shared" si="7"/>
        <v>7.3906485671191555E-2</v>
      </c>
      <c r="T45" s="92">
        <f t="shared" si="20"/>
        <v>0.92609351432880838</v>
      </c>
      <c r="U45" s="92">
        <f t="shared" si="8"/>
        <v>0</v>
      </c>
      <c r="V45" s="92">
        <f t="shared" si="8"/>
        <v>1</v>
      </c>
      <c r="W45" s="92">
        <f t="shared" si="9"/>
        <v>0</v>
      </c>
      <c r="X45" s="92">
        <f t="shared" si="9"/>
        <v>0.96732365145228205</v>
      </c>
      <c r="Y45" s="92">
        <f t="shared" si="21"/>
        <v>2.7489626556016597E-2</v>
      </c>
      <c r="Z45" s="92">
        <f t="shared" si="10"/>
        <v>5.1867219917012446E-3</v>
      </c>
      <c r="AA45" s="92">
        <f t="shared" si="10"/>
        <v>0.77506775067750677</v>
      </c>
      <c r="AB45" s="92">
        <f t="shared" si="22"/>
        <v>0.1951219512195122</v>
      </c>
      <c r="AC45" s="92">
        <f t="shared" si="23"/>
        <v>0</v>
      </c>
    </row>
    <row r="46" spans="1:34" x14ac:dyDescent="0.3">
      <c r="C46" s="94"/>
      <c r="F46" s="92">
        <f t="shared" si="6"/>
        <v>0.57626996170243516</v>
      </c>
      <c r="G46" s="92">
        <f t="shared" si="11"/>
        <v>0.42374810318664646</v>
      </c>
      <c r="H46" s="92">
        <f t="shared" si="11"/>
        <v>4.5615381336061731E-2</v>
      </c>
      <c r="J46" s="92">
        <f t="shared" si="12"/>
        <v>0.19277827514174872</v>
      </c>
      <c r="K46" s="92">
        <f t="shared" si="13"/>
        <v>0.18651148910772902</v>
      </c>
      <c r="L46" s="92">
        <f t="shared" si="14"/>
        <v>5.712580466385301E-2</v>
      </c>
      <c r="M46" s="92">
        <f t="shared" si="15"/>
        <v>1.8757726904548751E-2</v>
      </c>
      <c r="N46" s="92">
        <f t="shared" si="16"/>
        <v>0.16575009592019441</v>
      </c>
      <c r="O46" s="92">
        <f t="shared" si="17"/>
        <v>0.33346122692586433</v>
      </c>
      <c r="P46" s="92">
        <f t="shared" si="18"/>
        <v>0.74262857142857142</v>
      </c>
      <c r="Q46" s="92">
        <f t="shared" si="19"/>
        <v>0.25737142857142858</v>
      </c>
      <c r="R46" s="92">
        <f t="shared" si="7"/>
        <v>0</v>
      </c>
      <c r="S46" s="92">
        <f t="shared" si="7"/>
        <v>0.29850746268656714</v>
      </c>
      <c r="T46" s="92">
        <f t="shared" si="20"/>
        <v>0.70149253731343286</v>
      </c>
      <c r="U46" s="92">
        <f t="shared" si="8"/>
        <v>0</v>
      </c>
      <c r="V46" s="92">
        <f t="shared" si="8"/>
        <v>9.0909090909090912E-2</v>
      </c>
      <c r="W46" s="92">
        <f t="shared" si="9"/>
        <v>0.90909090909090906</v>
      </c>
      <c r="X46" s="92">
        <f t="shared" si="9"/>
        <v>0.36213991769547321</v>
      </c>
      <c r="Y46" s="92">
        <f t="shared" si="21"/>
        <v>9.0534979423868303E-2</v>
      </c>
      <c r="Z46" s="92">
        <f t="shared" si="10"/>
        <v>0.54732510288065839</v>
      </c>
      <c r="AA46" s="92">
        <f t="shared" si="10"/>
        <v>0.7246228586039376</v>
      </c>
      <c r="AB46" s="92">
        <f t="shared" si="22"/>
        <v>0.2753771413960624</v>
      </c>
      <c r="AC46" s="92">
        <f t="shared" si="23"/>
        <v>0</v>
      </c>
    </row>
    <row r="47" spans="1:34" x14ac:dyDescent="0.3">
      <c r="C47" s="94"/>
      <c r="F47" s="92">
        <f t="shared" si="6"/>
        <v>0.63182294003289963</v>
      </c>
      <c r="G47" s="92">
        <f t="shared" si="11"/>
        <v>0.36817705996710032</v>
      </c>
      <c r="H47" s="92">
        <f t="shared" si="11"/>
        <v>6.3972380178716481E-2</v>
      </c>
      <c r="J47" s="92">
        <f t="shared" si="12"/>
        <v>0.19902518277822909</v>
      </c>
      <c r="K47" s="92">
        <f t="shared" si="13"/>
        <v>0.12956945572705117</v>
      </c>
      <c r="L47" s="92">
        <f t="shared" si="14"/>
        <v>0.1190089358245329</v>
      </c>
      <c r="M47" s="92">
        <f t="shared" si="15"/>
        <v>6.3566206336311937E-2</v>
      </c>
      <c r="N47" s="92">
        <f t="shared" si="16"/>
        <v>0.18237205523964253</v>
      </c>
      <c r="O47" s="92">
        <f t="shared" si="17"/>
        <v>0.24248578391551587</v>
      </c>
      <c r="P47" s="92">
        <f t="shared" si="18"/>
        <v>0.62695924764890287</v>
      </c>
      <c r="Q47" s="92">
        <f t="shared" si="19"/>
        <v>0.37304075235109718</v>
      </c>
      <c r="R47" s="92">
        <f t="shared" si="7"/>
        <v>0</v>
      </c>
      <c r="S47" s="92">
        <f t="shared" si="7"/>
        <v>0.22696245733788395</v>
      </c>
      <c r="T47" s="92">
        <f t="shared" si="20"/>
        <v>0.773037542662116</v>
      </c>
      <c r="U47" s="92">
        <f t="shared" si="8"/>
        <v>0</v>
      </c>
      <c r="V47" s="92">
        <f t="shared" si="8"/>
        <v>1</v>
      </c>
      <c r="W47" s="92">
        <f t="shared" si="9"/>
        <v>0</v>
      </c>
      <c r="X47" s="92">
        <f t="shared" si="9"/>
        <v>0.61804008908685981</v>
      </c>
      <c r="Y47" s="92">
        <f t="shared" si="21"/>
        <v>0.29510022271714925</v>
      </c>
      <c r="Z47" s="92">
        <f t="shared" si="10"/>
        <v>8.6859688195991103E-2</v>
      </c>
      <c r="AA47" s="92">
        <f t="shared" si="10"/>
        <v>0.69514237855946392</v>
      </c>
      <c r="AB47" s="92">
        <f t="shared" si="22"/>
        <v>0.30485762144053596</v>
      </c>
      <c r="AC47" s="92">
        <f t="shared" si="23"/>
        <v>0</v>
      </c>
    </row>
    <row r="48" spans="1:34" x14ac:dyDescent="0.3">
      <c r="C48" s="94"/>
      <c r="F48" s="92">
        <f t="shared" si="6"/>
        <v>0.6049101981037539</v>
      </c>
      <c r="G48" s="92">
        <f t="shared" si="11"/>
        <v>0.39505126030987442</v>
      </c>
      <c r="H48" s="92">
        <f t="shared" si="11"/>
        <v>4.3902439024390241E-2</v>
      </c>
      <c r="J48" s="92">
        <f t="shared" si="12"/>
        <v>0.17424390243902435</v>
      </c>
      <c r="K48" s="92">
        <f t="shared" si="13"/>
        <v>0.1186341463414634</v>
      </c>
      <c r="L48" s="92">
        <f t="shared" si="14"/>
        <v>0.10624390243902439</v>
      </c>
      <c r="M48" s="92">
        <f t="shared" si="15"/>
        <v>5.1414634146341461E-2</v>
      </c>
      <c r="N48" s="92">
        <f t="shared" si="16"/>
        <v>0.26126829268292678</v>
      </c>
      <c r="O48" s="92">
        <f t="shared" si="17"/>
        <v>0.24429268292682926</v>
      </c>
      <c r="P48" s="92">
        <f t="shared" si="18"/>
        <v>0.70805921052631571</v>
      </c>
      <c r="Q48" s="92">
        <f t="shared" si="19"/>
        <v>0.29194078947368418</v>
      </c>
      <c r="R48" s="92">
        <f t="shared" si="7"/>
        <v>0</v>
      </c>
      <c r="S48" s="92">
        <f t="shared" si="7"/>
        <v>0.17998163452708907</v>
      </c>
      <c r="T48" s="92">
        <f t="shared" si="20"/>
        <v>0.82001836547291085</v>
      </c>
      <c r="U48" s="92">
        <f t="shared" si="8"/>
        <v>0</v>
      </c>
      <c r="V48" s="92">
        <f t="shared" si="8"/>
        <v>0.74952561669829221</v>
      </c>
      <c r="W48" s="92">
        <f t="shared" si="9"/>
        <v>0.25047438330170779</v>
      </c>
      <c r="X48" s="92">
        <f t="shared" si="9"/>
        <v>0.78117998506348019</v>
      </c>
      <c r="Y48" s="92">
        <f t="shared" si="21"/>
        <v>8.7005227781926806E-2</v>
      </c>
      <c r="Z48" s="92">
        <f t="shared" si="10"/>
        <v>0.13181478715459297</v>
      </c>
      <c r="AA48" s="92">
        <f t="shared" si="10"/>
        <v>0.68290734824281152</v>
      </c>
      <c r="AB48" s="92">
        <f t="shared" si="22"/>
        <v>0.31709265175718848</v>
      </c>
      <c r="AC48" s="92">
        <f t="shared" si="23"/>
        <v>0</v>
      </c>
    </row>
    <row r="49" spans="5:32" x14ac:dyDescent="0.3">
      <c r="F49" s="92">
        <f t="shared" si="6"/>
        <v>0.66167041385627434</v>
      </c>
      <c r="G49" s="92">
        <f t="shared" si="11"/>
        <v>0.39016570905154463</v>
      </c>
      <c r="H49" s="92">
        <f t="shared" si="11"/>
        <v>0.17927649130295595</v>
      </c>
      <c r="J49" s="92">
        <f t="shared" si="12"/>
        <v>9.1238928609540082E-2</v>
      </c>
      <c r="K49" s="92">
        <f t="shared" si="13"/>
        <v>0.13125600256109274</v>
      </c>
      <c r="L49" s="92">
        <f t="shared" si="14"/>
        <v>0.1266673780813147</v>
      </c>
      <c r="M49" s="92">
        <f t="shared" si="15"/>
        <v>5.4636644968519908E-2</v>
      </c>
      <c r="N49" s="92">
        <f t="shared" si="16"/>
        <v>0.19613701846121015</v>
      </c>
      <c r="O49" s="92">
        <f t="shared" si="17"/>
        <v>0.22078753601536658</v>
      </c>
      <c r="P49" s="92">
        <f t="shared" si="18"/>
        <v>0.49186991869918695</v>
      </c>
      <c r="Q49" s="92">
        <f t="shared" si="19"/>
        <v>0.37317073170731702</v>
      </c>
      <c r="R49" s="92">
        <f t="shared" si="7"/>
        <v>0.13495934959349593</v>
      </c>
      <c r="S49" s="92">
        <f t="shared" si="7"/>
        <v>0.46166807076663857</v>
      </c>
      <c r="T49" s="92">
        <f t="shared" si="20"/>
        <v>0.53833192923336137</v>
      </c>
      <c r="U49" s="92">
        <f t="shared" si="8"/>
        <v>0</v>
      </c>
      <c r="V49" s="92">
        <f t="shared" si="8"/>
        <v>0.84375</v>
      </c>
      <c r="W49" s="92">
        <f t="shared" si="9"/>
        <v>0.15625</v>
      </c>
      <c r="X49" s="92">
        <f t="shared" si="9"/>
        <v>0.603917301414581</v>
      </c>
      <c r="Y49" s="92">
        <f t="shared" si="21"/>
        <v>3.4276387377584323E-2</v>
      </c>
      <c r="Z49" s="92">
        <f t="shared" si="10"/>
        <v>0.36180631120783457</v>
      </c>
      <c r="AA49" s="92">
        <f t="shared" si="10"/>
        <v>0.83808603189946829</v>
      </c>
      <c r="AB49" s="92">
        <f t="shared" si="22"/>
        <v>0.16191396810053166</v>
      </c>
      <c r="AC49" s="92">
        <f t="shared" si="23"/>
        <v>0</v>
      </c>
    </row>
    <row r="51" spans="5:32" x14ac:dyDescent="0.3">
      <c r="E51" t="s">
        <v>92</v>
      </c>
      <c r="F51" s="93">
        <f>AVERAGE(F43:F49)</f>
        <v>0.57243309436301537</v>
      </c>
      <c r="G51" s="93">
        <f>AVERAGE(G43:G49)</f>
        <v>0.43497585717770576</v>
      </c>
      <c r="H51" s="93">
        <f t="shared" ref="H51:AC51" si="24">AVERAGE(H43:H49)</f>
        <v>5.596796525219927E-2</v>
      </c>
      <c r="J51" s="93">
        <f t="shared" si="24"/>
        <v>0.18814772719459452</v>
      </c>
      <c r="K51" s="93">
        <f t="shared" si="24"/>
        <v>0.13407329812216942</v>
      </c>
      <c r="L51" s="93">
        <f t="shared" si="24"/>
        <v>0.10386229208236435</v>
      </c>
      <c r="M51" s="93">
        <f t="shared" si="24"/>
        <v>4.1687113507612832E-2</v>
      </c>
      <c r="N51" s="93">
        <f t="shared" si="24"/>
        <v>0.19539871197538691</v>
      </c>
      <c r="O51" s="93">
        <f t="shared" si="24"/>
        <v>0.28086289186567265</v>
      </c>
      <c r="P51" s="93">
        <f t="shared" si="24"/>
        <v>0.65000141501456965</v>
      </c>
      <c r="Q51" s="93">
        <f t="shared" si="24"/>
        <v>0.33071867790064535</v>
      </c>
      <c r="R51" s="93">
        <f t="shared" si="24"/>
        <v>1.9279907084785133E-2</v>
      </c>
      <c r="S51" s="93">
        <f t="shared" si="24"/>
        <v>0.38477243762433183</v>
      </c>
      <c r="T51" s="93">
        <f t="shared" si="24"/>
        <v>0.61522756237566811</v>
      </c>
      <c r="U51" s="93">
        <f t="shared" si="24"/>
        <v>0</v>
      </c>
      <c r="V51" s="93">
        <f t="shared" si="24"/>
        <v>0.69934174987580733</v>
      </c>
      <c r="W51" s="93">
        <f t="shared" si="24"/>
        <v>0.30065825012419273</v>
      </c>
      <c r="X51" s="93">
        <f t="shared" si="24"/>
        <v>0.70030651237583708</v>
      </c>
      <c r="Y51" s="93">
        <f t="shared" si="24"/>
        <v>0.13783740027690894</v>
      </c>
      <c r="Z51" s="93">
        <f>AVERAGE(Z43:Z49)</f>
        <v>0.16185608734725404</v>
      </c>
      <c r="AA51" s="93">
        <f t="shared" si="24"/>
        <v>0.76005736162598303</v>
      </c>
      <c r="AB51" s="93">
        <f t="shared" si="24"/>
        <v>0.23187450054978162</v>
      </c>
      <c r="AC51" s="93">
        <f t="shared" si="24"/>
        <v>0</v>
      </c>
    </row>
    <row r="52" spans="5:32" x14ac:dyDescent="0.3">
      <c r="G52" s="92"/>
    </row>
    <row r="55" spans="5:32" x14ac:dyDescent="0.3">
      <c r="J55" s="3"/>
      <c r="P55" s="3"/>
      <c r="Q55" s="3"/>
      <c r="R55" s="3"/>
      <c r="S55" s="3"/>
      <c r="T55" s="3"/>
      <c r="U55" s="3"/>
      <c r="V55" s="3"/>
      <c r="W55" s="3"/>
      <c r="X55" s="3"/>
      <c r="Y55" s="3"/>
      <c r="Z55" s="3"/>
      <c r="AA55" s="3"/>
      <c r="AB55" s="3"/>
      <c r="AC55" s="3"/>
      <c r="AD55" s="3"/>
      <c r="AE55" s="3"/>
      <c r="AF55" s="3"/>
    </row>
    <row r="56" spans="5:32" x14ac:dyDescent="0.3">
      <c r="I56" s="93">
        <f>SUM(J51:O51)+H51</f>
        <v>0.99999999999999989</v>
      </c>
      <c r="P56" s="3"/>
      <c r="Q56" s="3"/>
      <c r="R56" s="3"/>
      <c r="S56" s="3"/>
      <c r="T56" s="3"/>
      <c r="U56" s="3"/>
      <c r="V56" s="3"/>
      <c r="W56" s="3"/>
      <c r="X56" s="3"/>
      <c r="Y56" s="3"/>
      <c r="Z56" s="3"/>
      <c r="AA56" s="3"/>
      <c r="AB56" s="3"/>
      <c r="AC56" s="3"/>
      <c r="AD56" s="3"/>
      <c r="AE56" s="3"/>
      <c r="AF56" s="3"/>
    </row>
    <row r="57" spans="5:32" x14ac:dyDescent="0.3">
      <c r="G57" s="3"/>
    </row>
  </sheetData>
  <mergeCells count="26">
    <mergeCell ref="F1:F2"/>
    <mergeCell ref="A1:A2"/>
    <mergeCell ref="B1:B2"/>
    <mergeCell ref="C1:C2"/>
    <mergeCell ref="D1:D2"/>
    <mergeCell ref="E1:E2"/>
    <mergeCell ref="G1:G2"/>
    <mergeCell ref="J1:J2"/>
    <mergeCell ref="P1:R1"/>
    <mergeCell ref="S1:U1"/>
    <mergeCell ref="V1:W1"/>
    <mergeCell ref="AA1:AC1"/>
    <mergeCell ref="H1:H2"/>
    <mergeCell ref="AD1:AD2"/>
    <mergeCell ref="I1:I2"/>
    <mergeCell ref="K1:K2"/>
    <mergeCell ref="O1:O2"/>
    <mergeCell ref="L1:L2"/>
    <mergeCell ref="M1:M2"/>
    <mergeCell ref="N1:N2"/>
    <mergeCell ref="X1:Z1"/>
    <mergeCell ref="P41:R41"/>
    <mergeCell ref="S41:U41"/>
    <mergeCell ref="V41:W41"/>
    <mergeCell ref="X41:Z41"/>
    <mergeCell ref="AA41:AC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Q45" sqref="Q45"/>
    </sheetView>
  </sheetViews>
  <sheetFormatPr defaultColWidth="11.5546875" defaultRowHeight="14.4" x14ac:dyDescent="0.3"/>
  <cols>
    <col min="1" max="1" width="14.6640625" bestFit="1" customWidth="1"/>
    <col min="11" max="11" width="11.6640625" bestFit="1" customWidth="1"/>
  </cols>
  <sheetData>
    <row r="1" spans="1:20" x14ac:dyDescent="0.3">
      <c r="A1" t="s">
        <v>184</v>
      </c>
      <c r="B1">
        <v>200</v>
      </c>
      <c r="E1" t="s">
        <v>266</v>
      </c>
      <c r="G1" s="82">
        <f>86.92/117.69</f>
        <v>0.73855042909338098</v>
      </c>
      <c r="M1" t="s">
        <v>9</v>
      </c>
      <c r="N1" s="6">
        <f>E28*G1</f>
        <v>17.631669790823036</v>
      </c>
    </row>
    <row r="2" spans="1:20" x14ac:dyDescent="0.3">
      <c r="J2" t="s">
        <v>268</v>
      </c>
      <c r="K2" s="6">
        <f>(E9+E16+E20+E24+E28+E31+E34)*G1</f>
        <v>139.29339501073827</v>
      </c>
      <c r="M2" t="s">
        <v>0</v>
      </c>
      <c r="N2" s="6">
        <f>E9*G1</f>
        <v>11.811309695463535</v>
      </c>
    </row>
    <row r="3" spans="1:20" x14ac:dyDescent="0.3">
      <c r="A3" t="s">
        <v>163</v>
      </c>
      <c r="B3">
        <v>85</v>
      </c>
      <c r="E3" t="s">
        <v>270</v>
      </c>
      <c r="G3" s="82">
        <f>1-G1</f>
        <v>0.26144957090661902</v>
      </c>
      <c r="M3" t="s">
        <v>7</v>
      </c>
      <c r="N3" s="6">
        <f>E24*G1</f>
        <v>12.266503218765857</v>
      </c>
    </row>
    <row r="4" spans="1:20" x14ac:dyDescent="0.3">
      <c r="M4" t="s">
        <v>5</v>
      </c>
      <c r="N4" s="6">
        <f>E16*G1</f>
        <v>6.5201409326444413</v>
      </c>
    </row>
    <row r="5" spans="1:20" x14ac:dyDescent="0.3">
      <c r="M5" t="s">
        <v>6</v>
      </c>
      <c r="N5" s="6">
        <f>E20*G1</f>
        <v>2.6169830233405147</v>
      </c>
    </row>
    <row r="6" spans="1:20" x14ac:dyDescent="0.3">
      <c r="F6" s="6"/>
      <c r="M6" t="s">
        <v>12</v>
      </c>
      <c r="N6" s="6">
        <f>E31*G1</f>
        <v>3.5134890039620927</v>
      </c>
    </row>
    <row r="7" spans="1:20" x14ac:dyDescent="0.3">
      <c r="M7" t="s">
        <v>164</v>
      </c>
      <c r="N7" s="6">
        <f>E34*G1</f>
        <v>84.933299345738817</v>
      </c>
      <c r="P7" t="s">
        <v>313</v>
      </c>
      <c r="T7" t="s">
        <v>313</v>
      </c>
    </row>
    <row r="8" spans="1:20" x14ac:dyDescent="0.3">
      <c r="N8" s="6"/>
    </row>
    <row r="9" spans="1:20" x14ac:dyDescent="0.3">
      <c r="D9" t="s">
        <v>0</v>
      </c>
      <c r="E9" s="6">
        <f>B3*'4.2 MFA_type'!J51</f>
        <v>15.992556811540535</v>
      </c>
      <c r="J9" t="s">
        <v>267</v>
      </c>
      <c r="K9" s="6">
        <f>E12*G1</f>
        <v>8.4166908079379059</v>
      </c>
      <c r="N9" s="6"/>
      <c r="P9" t="s">
        <v>309</v>
      </c>
      <c r="T9" t="s">
        <v>292</v>
      </c>
    </row>
    <row r="10" spans="1:20" x14ac:dyDescent="0.3">
      <c r="E10" s="6"/>
      <c r="K10" s="6"/>
      <c r="P10" t="s">
        <v>308</v>
      </c>
      <c r="T10" t="s">
        <v>291</v>
      </c>
    </row>
    <row r="11" spans="1:20" x14ac:dyDescent="0.3">
      <c r="E11" s="6"/>
      <c r="G11" t="s">
        <v>185</v>
      </c>
      <c r="H11" s="6">
        <f>E12*65/100</f>
        <v>7.4075497212498602</v>
      </c>
      <c r="P11" t="s">
        <v>259</v>
      </c>
      <c r="T11" t="s">
        <v>287</v>
      </c>
    </row>
    <row r="12" spans="1:20" x14ac:dyDescent="0.3">
      <c r="A12" t="s">
        <v>181</v>
      </c>
      <c r="B12" s="6">
        <f>B1*'4.1 MFA_source'!F52/100</f>
        <v>153.7626129594359</v>
      </c>
      <c r="D12" t="s">
        <v>1</v>
      </c>
      <c r="E12" s="6">
        <f>B3*'4.2 MFA_type'!K51</f>
        <v>11.396230340384401</v>
      </c>
      <c r="G12" t="s">
        <v>186</v>
      </c>
      <c r="H12" s="6">
        <f>E12*33.1/100</f>
        <v>3.7721522426672367</v>
      </c>
      <c r="K12" s="6"/>
      <c r="T12" t="s">
        <v>288</v>
      </c>
    </row>
    <row r="13" spans="1:20" x14ac:dyDescent="0.3">
      <c r="A13" t="s">
        <v>182</v>
      </c>
      <c r="B13" s="6">
        <f>B1*'4.1 MFA_source'!F53/100</f>
        <v>7.5373829882076429</v>
      </c>
      <c r="E13" s="6"/>
      <c r="G13" t="s">
        <v>187</v>
      </c>
      <c r="H13" s="6">
        <f>E12*1.9/100</f>
        <v>0.21652837646730361</v>
      </c>
      <c r="J13" t="s">
        <v>269</v>
      </c>
      <c r="K13" s="6">
        <f>(SUM(E9:E34))*G3</f>
        <v>52.289914181323802</v>
      </c>
      <c r="M13" t="s">
        <v>1</v>
      </c>
      <c r="N13" s="6">
        <f>E12-K9</f>
        <v>2.9795395324464948</v>
      </c>
      <c r="P13" t="s">
        <v>310</v>
      </c>
      <c r="T13" t="s">
        <v>289</v>
      </c>
    </row>
    <row r="14" spans="1:20" x14ac:dyDescent="0.3">
      <c r="A14" t="s">
        <v>183</v>
      </c>
      <c r="B14" s="6">
        <f>B1*'4.1 MFA_source'!F51/100</f>
        <v>38.700004052356462</v>
      </c>
      <c r="E14" s="6"/>
      <c r="H14" s="6"/>
      <c r="M14" t="s">
        <v>0</v>
      </c>
      <c r="N14" s="6">
        <f>E9*G3</f>
        <v>4.1812471160770004</v>
      </c>
      <c r="P14" t="s">
        <v>311</v>
      </c>
      <c r="T14" t="s">
        <v>293</v>
      </c>
    </row>
    <row r="15" spans="1:20" x14ac:dyDescent="0.3">
      <c r="B15" s="6"/>
      <c r="E15" s="6"/>
      <c r="G15" t="s">
        <v>188</v>
      </c>
      <c r="H15" s="6">
        <f>E16*38.5/100</f>
        <v>3.3988935083953731</v>
      </c>
      <c r="M15" t="s">
        <v>5</v>
      </c>
      <c r="N15" s="6">
        <f>E16*G3</f>
        <v>2.3081538943565278</v>
      </c>
      <c r="T15" t="s">
        <v>290</v>
      </c>
    </row>
    <row r="16" spans="1:20" x14ac:dyDescent="0.3">
      <c r="B16" s="6"/>
      <c r="D16" t="s">
        <v>5</v>
      </c>
      <c r="E16" s="6">
        <f>B3*'4.2 MFA_type'!L51</f>
        <v>8.8282948270009687</v>
      </c>
      <c r="G16" t="s">
        <v>189</v>
      </c>
      <c r="H16" s="6">
        <f>E16*61.5/100</f>
        <v>5.4294013186055956</v>
      </c>
      <c r="M16" t="s">
        <v>6</v>
      </c>
      <c r="N16" s="6">
        <f>E20*G3</f>
        <v>0.9264216248065763</v>
      </c>
      <c r="P16" t="s">
        <v>262</v>
      </c>
    </row>
    <row r="17" spans="4:20" x14ac:dyDescent="0.3">
      <c r="E17" s="6"/>
      <c r="H17" s="6"/>
      <c r="M17" t="s">
        <v>7</v>
      </c>
      <c r="N17" s="6">
        <f>E24*G3</f>
        <v>4.3423872991420307</v>
      </c>
      <c r="P17" t="s">
        <v>260</v>
      </c>
      <c r="T17" t="s">
        <v>294</v>
      </c>
    </row>
    <row r="18" spans="4:20" x14ac:dyDescent="0.3">
      <c r="E18" s="6"/>
      <c r="H18" s="6"/>
      <c r="M18" t="s">
        <v>9</v>
      </c>
      <c r="N18" s="6">
        <f>E28*G3</f>
        <v>6.2416760177591417</v>
      </c>
      <c r="P18" t="s">
        <v>312</v>
      </c>
      <c r="T18" t="s">
        <v>295</v>
      </c>
    </row>
    <row r="19" spans="4:20" x14ac:dyDescent="0.3">
      <c r="E19" s="6"/>
      <c r="G19" t="s">
        <v>190</v>
      </c>
      <c r="H19" s="6">
        <f>E20*69.9/100</f>
        <v>2.4768398490548167</v>
      </c>
      <c r="M19" t="s">
        <v>12</v>
      </c>
      <c r="N19" s="6">
        <f>E31*G3</f>
        <v>1.2437880424748453</v>
      </c>
      <c r="P19" t="s">
        <v>261</v>
      </c>
    </row>
    <row r="20" spans="4:20" x14ac:dyDescent="0.3">
      <c r="D20" t="s">
        <v>6</v>
      </c>
      <c r="E20" s="6">
        <f>B3*'4.2 MFA_type'!M51</f>
        <v>3.5434046481470909</v>
      </c>
      <c r="G20" t="s">
        <v>191</v>
      </c>
      <c r="H20" s="6">
        <f>E20*30.1/100</f>
        <v>1.0665647990922744</v>
      </c>
      <c r="M20" t="s">
        <v>164</v>
      </c>
      <c r="N20" s="6">
        <f>E34*G3</f>
        <v>30.066700654261187</v>
      </c>
      <c r="P20" t="s">
        <v>263</v>
      </c>
      <c r="T20" t="s">
        <v>296</v>
      </c>
    </row>
    <row r="21" spans="4:20" x14ac:dyDescent="0.3">
      <c r="E21" s="6"/>
      <c r="H21" s="6"/>
      <c r="N21" s="6"/>
      <c r="P21" t="s">
        <v>264</v>
      </c>
      <c r="T21" t="s">
        <v>297</v>
      </c>
    </row>
    <row r="22" spans="4:20" x14ac:dyDescent="0.3">
      <c r="E22" s="6"/>
      <c r="H22" s="6"/>
      <c r="P22" t="s">
        <v>265</v>
      </c>
      <c r="T22" t="s">
        <v>298</v>
      </c>
    </row>
    <row r="23" spans="4:20" x14ac:dyDescent="0.3">
      <c r="E23" s="6"/>
      <c r="G23" t="s">
        <v>192</v>
      </c>
      <c r="H23" s="6">
        <f>E24*70/100</f>
        <v>11.626223362535523</v>
      </c>
    </row>
    <row r="24" spans="4:20" x14ac:dyDescent="0.3">
      <c r="D24" t="s">
        <v>7</v>
      </c>
      <c r="E24" s="6">
        <f>B3*'4.2 MFA_type'!N51</f>
        <v>16.608890517907888</v>
      </c>
      <c r="G24" t="s">
        <v>193</v>
      </c>
      <c r="H24" s="6">
        <f>E24*13.8/100</f>
        <v>2.2920268914712887</v>
      </c>
      <c r="P24" t="s">
        <v>271</v>
      </c>
      <c r="T24" t="s">
        <v>299</v>
      </c>
    </row>
    <row r="25" spans="4:20" x14ac:dyDescent="0.3">
      <c r="E25" s="6"/>
      <c r="G25" t="s">
        <v>187</v>
      </c>
      <c r="H25" s="6">
        <f>E24*16.2/100</f>
        <v>2.6906402639010776</v>
      </c>
      <c r="T25" t="s">
        <v>300</v>
      </c>
    </row>
    <row r="26" spans="4:20" x14ac:dyDescent="0.3">
      <c r="E26" s="6"/>
      <c r="H26" s="6"/>
      <c r="P26" t="s">
        <v>272</v>
      </c>
    </row>
    <row r="27" spans="4:20" x14ac:dyDescent="0.3">
      <c r="E27" s="6"/>
      <c r="G27" t="s">
        <v>194</v>
      </c>
      <c r="H27" s="6">
        <f>E28*76/100</f>
        <v>18.143742814522454</v>
      </c>
      <c r="P27" t="s">
        <v>273</v>
      </c>
    </row>
    <row r="28" spans="4:20" x14ac:dyDescent="0.3">
      <c r="D28" t="s">
        <v>9</v>
      </c>
      <c r="E28" s="6">
        <f>B3*'4.2 MFA_type'!O51</f>
        <v>23.873345808582176</v>
      </c>
      <c r="G28" t="s">
        <v>195</v>
      </c>
      <c r="H28" s="6">
        <f>E28*23.2/100</f>
        <v>5.5386162275910644</v>
      </c>
      <c r="J28" t="s">
        <v>305</v>
      </c>
      <c r="K28">
        <v>8</v>
      </c>
      <c r="L28">
        <f>K28/200*100</f>
        <v>4</v>
      </c>
      <c r="P28" t="s">
        <v>274</v>
      </c>
      <c r="T28" t="s">
        <v>301</v>
      </c>
    </row>
    <row r="29" spans="4:20" x14ac:dyDescent="0.3">
      <c r="E29" s="6"/>
      <c r="H29" s="6"/>
      <c r="J29" t="s">
        <v>306</v>
      </c>
      <c r="K29">
        <v>51</v>
      </c>
      <c r="L29">
        <v>26</v>
      </c>
      <c r="P29" t="s">
        <v>275</v>
      </c>
      <c r="T29" t="s">
        <v>302</v>
      </c>
    </row>
    <row r="30" spans="4:20" x14ac:dyDescent="0.3">
      <c r="J30" t="s">
        <v>307</v>
      </c>
      <c r="K30">
        <v>139</v>
      </c>
      <c r="L30">
        <v>70</v>
      </c>
      <c r="P30" t="s">
        <v>276</v>
      </c>
    </row>
    <row r="31" spans="4:20" x14ac:dyDescent="0.3">
      <c r="D31" t="s">
        <v>12</v>
      </c>
      <c r="E31" s="6">
        <f>B3*'4.2 MFA_type'!H51</f>
        <v>4.7572770464369381</v>
      </c>
      <c r="L31">
        <f>SUM(L28:L30)</f>
        <v>100</v>
      </c>
      <c r="P31" t="s">
        <v>277</v>
      </c>
      <c r="T31" t="s">
        <v>303</v>
      </c>
    </row>
    <row r="32" spans="4:20" x14ac:dyDescent="0.3">
      <c r="E32" s="6"/>
      <c r="P32" t="s">
        <v>278</v>
      </c>
      <c r="T32" t="s">
        <v>304</v>
      </c>
    </row>
    <row r="33" spans="4:16" x14ac:dyDescent="0.3">
      <c r="P33" t="s">
        <v>279</v>
      </c>
    </row>
    <row r="34" spans="4:16" x14ac:dyDescent="0.3">
      <c r="D34" t="s">
        <v>206</v>
      </c>
      <c r="E34">
        <f>B1-B3</f>
        <v>115</v>
      </c>
    </row>
    <row r="35" spans="4:16" x14ac:dyDescent="0.3">
      <c r="E35" s="6"/>
      <c r="P35" t="s">
        <v>280</v>
      </c>
    </row>
    <row r="36" spans="4:16" x14ac:dyDescent="0.3">
      <c r="H36" s="6"/>
      <c r="P36" t="s">
        <v>281</v>
      </c>
    </row>
    <row r="37" spans="4:16" x14ac:dyDescent="0.3">
      <c r="P37" t="s">
        <v>282</v>
      </c>
    </row>
    <row r="38" spans="4:16" x14ac:dyDescent="0.3">
      <c r="P38" t="s">
        <v>283</v>
      </c>
    </row>
    <row r="39" spans="4:16" x14ac:dyDescent="0.3">
      <c r="P39" t="s">
        <v>284</v>
      </c>
    </row>
    <row r="40" spans="4:16" x14ac:dyDescent="0.3">
      <c r="P40" t="s">
        <v>285</v>
      </c>
    </row>
    <row r="41" spans="4:16" x14ac:dyDescent="0.3">
      <c r="P41"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topLeftCell="A73" zoomScale="109" zoomScaleNormal="185" workbookViewId="0">
      <selection activeCell="P105" sqref="P105"/>
    </sheetView>
  </sheetViews>
  <sheetFormatPr defaultColWidth="11.5546875" defaultRowHeight="14.4" x14ac:dyDescent="0.3"/>
  <cols>
    <col min="3" max="3" width="8.33203125" bestFit="1" customWidth="1"/>
    <col min="4" max="4" width="12.6640625" bestFit="1" customWidth="1"/>
    <col min="5" max="5" width="12.33203125" bestFit="1" customWidth="1"/>
  </cols>
  <sheetData>
    <row r="1" spans="1:25" x14ac:dyDescent="0.3">
      <c r="A1" t="s">
        <v>30</v>
      </c>
      <c r="B1" t="s">
        <v>17</v>
      </c>
      <c r="C1" t="s">
        <v>38</v>
      </c>
      <c r="D1" t="s">
        <v>16</v>
      </c>
      <c r="E1" t="s">
        <v>46</v>
      </c>
      <c r="F1" t="s">
        <v>59</v>
      </c>
      <c r="G1" t="s">
        <v>60</v>
      </c>
      <c r="H1" t="s">
        <v>0</v>
      </c>
      <c r="I1" t="s">
        <v>94</v>
      </c>
      <c r="J1" t="s">
        <v>95</v>
      </c>
      <c r="K1" t="s">
        <v>78</v>
      </c>
      <c r="L1" t="s">
        <v>82</v>
      </c>
      <c r="M1" t="s">
        <v>112</v>
      </c>
      <c r="N1" t="s">
        <v>81</v>
      </c>
      <c r="O1" t="s">
        <v>113</v>
      </c>
      <c r="P1" t="s">
        <v>80</v>
      </c>
      <c r="Q1" t="s">
        <v>84</v>
      </c>
      <c r="R1" t="s">
        <v>85</v>
      </c>
      <c r="S1" t="s">
        <v>24</v>
      </c>
      <c r="T1" t="s">
        <v>87</v>
      </c>
      <c r="U1" t="s">
        <v>89</v>
      </c>
      <c r="V1" t="s">
        <v>88</v>
      </c>
      <c r="W1" t="s">
        <v>12</v>
      </c>
      <c r="X1" t="s">
        <v>13</v>
      </c>
      <c r="Y1" t="s">
        <v>14</v>
      </c>
    </row>
    <row r="2" spans="1:25" x14ac:dyDescent="0.3">
      <c r="A2">
        <v>1</v>
      </c>
      <c r="B2" s="48">
        <v>44186</v>
      </c>
      <c r="C2">
        <v>2</v>
      </c>
      <c r="D2">
        <v>0</v>
      </c>
      <c r="E2">
        <v>0</v>
      </c>
      <c r="F2">
        <v>32.85</v>
      </c>
      <c r="G2">
        <v>16.649999999999999</v>
      </c>
      <c r="H2">
        <v>6.25</v>
      </c>
      <c r="I2">
        <v>1.2000000000000002</v>
      </c>
      <c r="J2">
        <v>1.2</v>
      </c>
      <c r="K2">
        <v>0</v>
      </c>
      <c r="L2">
        <v>0.85</v>
      </c>
      <c r="M2">
        <v>0.85</v>
      </c>
      <c r="N2">
        <v>0</v>
      </c>
      <c r="O2">
        <v>0.1</v>
      </c>
      <c r="P2">
        <v>0</v>
      </c>
      <c r="Q2">
        <v>1.2999999999999998</v>
      </c>
      <c r="R2">
        <v>1.2000000000000002</v>
      </c>
      <c r="S2">
        <v>0</v>
      </c>
      <c r="T2">
        <v>1.65</v>
      </c>
      <c r="U2">
        <v>0</v>
      </c>
      <c r="V2">
        <v>2.0499999999999998</v>
      </c>
      <c r="W2">
        <v>0</v>
      </c>
      <c r="X2">
        <v>0</v>
      </c>
      <c r="Y2">
        <v>16.200000000000003</v>
      </c>
    </row>
    <row r="3" spans="1:25" x14ac:dyDescent="0.3">
      <c r="A3">
        <v>3</v>
      </c>
      <c r="B3" s="48">
        <v>44186</v>
      </c>
      <c r="C3">
        <v>2</v>
      </c>
      <c r="D3">
        <v>1</v>
      </c>
      <c r="E3">
        <v>0</v>
      </c>
      <c r="F3">
        <v>30.2</v>
      </c>
      <c r="G3">
        <v>21.7</v>
      </c>
      <c r="H3">
        <v>8.5</v>
      </c>
      <c r="I3">
        <v>0.3</v>
      </c>
      <c r="J3">
        <v>0.2</v>
      </c>
      <c r="K3">
        <v>0</v>
      </c>
      <c r="L3">
        <v>0.2</v>
      </c>
      <c r="M3">
        <v>0</v>
      </c>
      <c r="N3">
        <v>0</v>
      </c>
      <c r="O3">
        <v>0</v>
      </c>
      <c r="P3">
        <v>0</v>
      </c>
      <c r="Q3">
        <v>0.5</v>
      </c>
      <c r="R3">
        <v>9</v>
      </c>
      <c r="S3">
        <v>0</v>
      </c>
      <c r="T3">
        <v>2</v>
      </c>
      <c r="U3">
        <v>0</v>
      </c>
      <c r="V3">
        <v>0</v>
      </c>
      <c r="W3">
        <v>1</v>
      </c>
      <c r="X3">
        <v>0</v>
      </c>
      <c r="Y3">
        <v>8.5</v>
      </c>
    </row>
    <row r="4" spans="1:25" x14ac:dyDescent="0.3">
      <c r="A4">
        <v>4</v>
      </c>
      <c r="B4" s="48">
        <v>44186</v>
      </c>
      <c r="C4">
        <v>2</v>
      </c>
      <c r="D4">
        <v>2</v>
      </c>
      <c r="E4">
        <v>0</v>
      </c>
      <c r="F4">
        <v>19</v>
      </c>
      <c r="G4">
        <v>7.2</v>
      </c>
      <c r="H4">
        <v>3.1</v>
      </c>
      <c r="I4">
        <v>0.7</v>
      </c>
      <c r="J4">
        <v>0.6</v>
      </c>
      <c r="K4">
        <v>0</v>
      </c>
      <c r="L4">
        <v>0.15</v>
      </c>
      <c r="M4">
        <v>0</v>
      </c>
      <c r="N4">
        <v>0</v>
      </c>
      <c r="O4">
        <v>0</v>
      </c>
      <c r="P4">
        <v>0</v>
      </c>
      <c r="Q4">
        <v>0.9</v>
      </c>
      <c r="R4">
        <v>0</v>
      </c>
      <c r="S4">
        <v>0</v>
      </c>
      <c r="T4">
        <v>1.5</v>
      </c>
      <c r="U4">
        <v>0</v>
      </c>
      <c r="V4">
        <v>0</v>
      </c>
      <c r="W4">
        <v>0.25</v>
      </c>
      <c r="X4">
        <v>0</v>
      </c>
      <c r="Y4">
        <v>11.8</v>
      </c>
    </row>
    <row r="5" spans="1:25" x14ac:dyDescent="0.3">
      <c r="A5">
        <v>5</v>
      </c>
      <c r="B5" s="48"/>
      <c r="F5">
        <v>158.25</v>
      </c>
      <c r="G5">
        <v>83.35</v>
      </c>
      <c r="H5">
        <v>25.299999999999997</v>
      </c>
      <c r="I5">
        <v>3.5999999999999996</v>
      </c>
      <c r="J5">
        <v>3.8</v>
      </c>
      <c r="K5">
        <v>0.3</v>
      </c>
      <c r="L5">
        <v>1.75</v>
      </c>
      <c r="M5">
        <v>1.75</v>
      </c>
      <c r="N5">
        <v>0</v>
      </c>
      <c r="O5">
        <v>1.325</v>
      </c>
      <c r="P5">
        <v>1.325</v>
      </c>
      <c r="Q5">
        <v>25.5</v>
      </c>
      <c r="R5">
        <v>3.5</v>
      </c>
      <c r="S5">
        <v>0</v>
      </c>
      <c r="T5">
        <v>11</v>
      </c>
      <c r="U5">
        <v>0</v>
      </c>
      <c r="V5">
        <v>3.3</v>
      </c>
      <c r="W5">
        <v>0.9</v>
      </c>
      <c r="X5">
        <v>0</v>
      </c>
      <c r="Y5">
        <v>74.900000000000006</v>
      </c>
    </row>
    <row r="7" spans="1:25" x14ac:dyDescent="0.3">
      <c r="A7" t="s">
        <v>30</v>
      </c>
      <c r="B7" t="s">
        <v>17</v>
      </c>
      <c r="C7" t="s">
        <v>219</v>
      </c>
      <c r="D7" t="s">
        <v>220</v>
      </c>
      <c r="E7" t="s">
        <v>221</v>
      </c>
      <c r="F7" t="s">
        <v>59</v>
      </c>
      <c r="G7" t="s">
        <v>60</v>
      </c>
      <c r="H7" t="s">
        <v>0</v>
      </c>
      <c r="I7" t="s">
        <v>76</v>
      </c>
      <c r="J7" t="s">
        <v>83</v>
      </c>
      <c r="K7" t="s">
        <v>78</v>
      </c>
      <c r="L7" t="s">
        <v>82</v>
      </c>
      <c r="M7" t="s">
        <v>112</v>
      </c>
      <c r="N7" t="s">
        <v>81</v>
      </c>
      <c r="O7" t="s">
        <v>222</v>
      </c>
      <c r="P7" t="s">
        <v>80</v>
      </c>
      <c r="Q7" t="s">
        <v>84</v>
      </c>
      <c r="R7" t="s">
        <v>85</v>
      </c>
      <c r="S7" t="s">
        <v>86</v>
      </c>
      <c r="T7" t="s">
        <v>87</v>
      </c>
      <c r="U7" t="s">
        <v>89</v>
      </c>
      <c r="V7" t="s">
        <v>223</v>
      </c>
      <c r="W7" t="s">
        <v>12</v>
      </c>
      <c r="X7" t="s">
        <v>224</v>
      </c>
      <c r="Y7" t="s">
        <v>14</v>
      </c>
    </row>
    <row r="8" spans="1:25" x14ac:dyDescent="0.3">
      <c r="A8">
        <v>6</v>
      </c>
      <c r="B8" t="s">
        <v>167</v>
      </c>
      <c r="C8">
        <v>5</v>
      </c>
      <c r="D8">
        <v>0</v>
      </c>
      <c r="E8">
        <v>1</v>
      </c>
      <c r="F8">
        <v>111.51</v>
      </c>
      <c r="G8" s="82">
        <v>60.11</v>
      </c>
      <c r="H8" s="82">
        <v>23</v>
      </c>
      <c r="I8" s="82">
        <v>0.65</v>
      </c>
      <c r="J8" s="82">
        <v>0.65</v>
      </c>
      <c r="K8" s="82">
        <v>0</v>
      </c>
      <c r="L8" s="82">
        <v>3.75</v>
      </c>
      <c r="M8" s="82">
        <v>9.4600000000000009</v>
      </c>
      <c r="N8" s="82">
        <v>0</v>
      </c>
      <c r="O8" s="82">
        <v>0.9</v>
      </c>
      <c r="P8" s="82">
        <v>0.1</v>
      </c>
      <c r="Q8" s="82">
        <v>7.95</v>
      </c>
      <c r="R8" s="82">
        <v>3.8</v>
      </c>
      <c r="S8" s="82">
        <v>0.3</v>
      </c>
      <c r="T8" s="82">
        <v>5.55</v>
      </c>
      <c r="U8" s="82">
        <v>0</v>
      </c>
      <c r="V8" s="82">
        <v>2.7</v>
      </c>
      <c r="W8" s="82">
        <v>1.3</v>
      </c>
      <c r="X8" s="82">
        <v>0</v>
      </c>
      <c r="Y8" s="82">
        <v>51.4</v>
      </c>
    </row>
    <row r="14" spans="1:25" x14ac:dyDescent="0.3">
      <c r="C14" s="61" t="s">
        <v>114</v>
      </c>
      <c r="D14" s="61" t="s">
        <v>115</v>
      </c>
      <c r="E14" s="61" t="s">
        <v>116</v>
      </c>
      <c r="F14" s="61" t="s">
        <v>119</v>
      </c>
    </row>
    <row r="15" spans="1:25" x14ac:dyDescent="0.3">
      <c r="C15" s="60">
        <v>1</v>
      </c>
      <c r="D15" s="62">
        <v>32.85</v>
      </c>
      <c r="E15" s="62">
        <v>16.649999999999999</v>
      </c>
      <c r="F15" s="3">
        <f>D15-E15</f>
        <v>16.200000000000003</v>
      </c>
    </row>
    <row r="16" spans="1:25" x14ac:dyDescent="0.3">
      <c r="C16" s="60">
        <v>3</v>
      </c>
      <c r="D16" s="62">
        <v>30.2</v>
      </c>
      <c r="E16" s="62">
        <v>21.7</v>
      </c>
      <c r="F16" s="3">
        <f>D16-E16</f>
        <v>8.5</v>
      </c>
    </row>
    <row r="17" spans="3:41" x14ac:dyDescent="0.3">
      <c r="C17" s="60">
        <v>4</v>
      </c>
      <c r="D17" s="62">
        <v>19</v>
      </c>
      <c r="E17" s="62">
        <v>7.2</v>
      </c>
      <c r="F17" s="3">
        <f>D17-E17</f>
        <v>11.8</v>
      </c>
    </row>
    <row r="18" spans="3:41" x14ac:dyDescent="0.3">
      <c r="C18" s="60">
        <v>5</v>
      </c>
      <c r="D18" s="62">
        <v>158.25</v>
      </c>
      <c r="E18" s="62">
        <v>83.35</v>
      </c>
      <c r="F18" s="3">
        <f>D18-E18</f>
        <v>74.900000000000006</v>
      </c>
    </row>
    <row r="20" spans="3:41" x14ac:dyDescent="0.3">
      <c r="C20" s="61" t="s">
        <v>114</v>
      </c>
      <c r="D20" s="61" t="s">
        <v>115</v>
      </c>
      <c r="E20" s="61" t="s">
        <v>116</v>
      </c>
      <c r="F20" s="61" t="s">
        <v>119</v>
      </c>
    </row>
    <row r="21" spans="3:41" x14ac:dyDescent="0.3">
      <c r="C21" s="68">
        <v>1</v>
      </c>
      <c r="D21" s="62">
        <v>100</v>
      </c>
      <c r="E21" s="62">
        <f>E15/D15*100</f>
        <v>50.68493150684931</v>
      </c>
      <c r="F21" s="3">
        <f>D21-E21</f>
        <v>49.31506849315069</v>
      </c>
    </row>
    <row r="22" spans="3:41" x14ac:dyDescent="0.3">
      <c r="C22" s="68">
        <v>3</v>
      </c>
      <c r="D22" s="62">
        <v>100</v>
      </c>
      <c r="E22" s="62">
        <f>E16/D16*100</f>
        <v>71.854304635761594</v>
      </c>
      <c r="F22" s="3">
        <f>D22-E22</f>
        <v>28.145695364238406</v>
      </c>
    </row>
    <row r="23" spans="3:41" x14ac:dyDescent="0.3">
      <c r="C23" s="68">
        <v>4</v>
      </c>
      <c r="D23" s="62">
        <v>100</v>
      </c>
      <c r="E23" s="62">
        <f>E17/D17*100</f>
        <v>37.894736842105267</v>
      </c>
      <c r="F23" s="3">
        <f>D23-E23</f>
        <v>62.105263157894733</v>
      </c>
      <c r="AB23" t="s">
        <v>227</v>
      </c>
      <c r="AE23" t="s">
        <v>242</v>
      </c>
      <c r="AH23" t="s">
        <v>243</v>
      </c>
      <c r="AK23" t="s">
        <v>244</v>
      </c>
      <c r="AN23" t="s">
        <v>245</v>
      </c>
    </row>
    <row r="24" spans="3:41" x14ac:dyDescent="0.3">
      <c r="C24" s="68">
        <v>5</v>
      </c>
      <c r="D24" s="62">
        <v>100</v>
      </c>
      <c r="E24" s="62">
        <f>E18/D18*100</f>
        <v>52.669826224328588</v>
      </c>
      <c r="F24" s="3">
        <f>D24-E24</f>
        <v>47.330173775671412</v>
      </c>
      <c r="AB24" t="s">
        <v>229</v>
      </c>
      <c r="AC24">
        <v>0.1</v>
      </c>
      <c r="AE24" t="s">
        <v>236</v>
      </c>
      <c r="AF24">
        <v>0.2</v>
      </c>
      <c r="AH24" t="s">
        <v>239</v>
      </c>
      <c r="AI24">
        <v>0.15</v>
      </c>
      <c r="AK24" t="s">
        <v>237</v>
      </c>
      <c r="AL24">
        <v>0.3</v>
      </c>
      <c r="AN24" t="s">
        <v>230</v>
      </c>
      <c r="AO24">
        <v>0.1</v>
      </c>
    </row>
    <row r="25" spans="3:41" x14ac:dyDescent="0.3">
      <c r="AB25" t="s">
        <v>238</v>
      </c>
      <c r="AC25">
        <v>0.85</v>
      </c>
      <c r="AE25" t="s">
        <v>239</v>
      </c>
      <c r="AF25">
        <v>0.2</v>
      </c>
      <c r="AH25" t="s">
        <v>12</v>
      </c>
      <c r="AI25">
        <v>0.25</v>
      </c>
      <c r="AK25" t="s">
        <v>12</v>
      </c>
      <c r="AL25">
        <v>0.9</v>
      </c>
      <c r="AN25" t="s">
        <v>241</v>
      </c>
      <c r="AO25">
        <v>0.3</v>
      </c>
    </row>
    <row r="26" spans="3:41" x14ac:dyDescent="0.3">
      <c r="AB26" t="s">
        <v>239</v>
      </c>
      <c r="AC26">
        <v>0.85</v>
      </c>
      <c r="AE26" t="s">
        <v>235</v>
      </c>
      <c r="AF26">
        <v>0.3</v>
      </c>
      <c r="AH26" t="s">
        <v>236</v>
      </c>
      <c r="AI26">
        <v>0.6</v>
      </c>
      <c r="AK26" t="s">
        <v>229</v>
      </c>
      <c r="AL26">
        <v>1.325</v>
      </c>
      <c r="AN26" t="s">
        <v>235</v>
      </c>
      <c r="AO26">
        <v>0.65</v>
      </c>
    </row>
    <row r="27" spans="3:41" x14ac:dyDescent="0.3">
      <c r="AB27" t="s">
        <v>236</v>
      </c>
      <c r="AC27">
        <v>1.2</v>
      </c>
      <c r="AE27" t="s">
        <v>233</v>
      </c>
      <c r="AF27">
        <v>0.5</v>
      </c>
      <c r="AH27" t="s">
        <v>235</v>
      </c>
      <c r="AI27">
        <v>0.7</v>
      </c>
      <c r="AK27" t="s">
        <v>230</v>
      </c>
      <c r="AL27">
        <v>1.325</v>
      </c>
      <c r="AN27" t="s">
        <v>236</v>
      </c>
      <c r="AO27">
        <v>0.65</v>
      </c>
    </row>
    <row r="28" spans="3:41" x14ac:dyDescent="0.3">
      <c r="AB28" t="s">
        <v>234</v>
      </c>
      <c r="AC28">
        <v>1.2000000000000002</v>
      </c>
      <c r="AE28" t="s">
        <v>12</v>
      </c>
      <c r="AF28">
        <v>1</v>
      </c>
      <c r="AH28" t="s">
        <v>233</v>
      </c>
      <c r="AI28">
        <v>0.9</v>
      </c>
      <c r="AK28" t="s">
        <v>238</v>
      </c>
      <c r="AL28">
        <v>1.75</v>
      </c>
      <c r="AN28" t="s">
        <v>240</v>
      </c>
      <c r="AO28">
        <v>0.9</v>
      </c>
    </row>
    <row r="29" spans="3:41" x14ac:dyDescent="0.3">
      <c r="AB29" t="s">
        <v>235</v>
      </c>
      <c r="AC29">
        <v>1.2000000000000002</v>
      </c>
      <c r="AE29" t="s">
        <v>232</v>
      </c>
      <c r="AF29">
        <v>2</v>
      </c>
      <c r="AH29" t="s">
        <v>232</v>
      </c>
      <c r="AI29">
        <v>1.5</v>
      </c>
      <c r="AK29" t="s">
        <v>239</v>
      </c>
      <c r="AL29">
        <v>1.75</v>
      </c>
      <c r="AN29" t="s">
        <v>12</v>
      </c>
      <c r="AO29">
        <v>1.3</v>
      </c>
    </row>
    <row r="30" spans="3:41" x14ac:dyDescent="0.3">
      <c r="AB30" t="s">
        <v>233</v>
      </c>
      <c r="AC30">
        <v>1.2999999999999998</v>
      </c>
      <c r="AE30" t="s">
        <v>228</v>
      </c>
      <c r="AF30">
        <v>8.5</v>
      </c>
      <c r="AH30" t="s">
        <v>228</v>
      </c>
      <c r="AI30">
        <v>3.1</v>
      </c>
      <c r="AK30" t="s">
        <v>231</v>
      </c>
      <c r="AL30">
        <v>3.3</v>
      </c>
      <c r="AN30" t="s">
        <v>231</v>
      </c>
      <c r="AO30">
        <v>2.7</v>
      </c>
    </row>
    <row r="31" spans="3:41" x14ac:dyDescent="0.3">
      <c r="AB31" t="s">
        <v>232</v>
      </c>
      <c r="AC31">
        <v>1.65</v>
      </c>
      <c r="AE31" t="s">
        <v>234</v>
      </c>
      <c r="AF31">
        <v>9</v>
      </c>
      <c r="AH31" t="s">
        <v>207</v>
      </c>
      <c r="AI31">
        <v>7.2</v>
      </c>
      <c r="AK31" t="s">
        <v>234</v>
      </c>
      <c r="AL31">
        <v>3.5</v>
      </c>
      <c r="AN31" t="s">
        <v>239</v>
      </c>
      <c r="AO31">
        <v>3.75</v>
      </c>
    </row>
    <row r="32" spans="3:41" x14ac:dyDescent="0.3">
      <c r="AB32" t="s">
        <v>231</v>
      </c>
      <c r="AC32">
        <v>2.0499999999999998</v>
      </c>
      <c r="AE32" t="s">
        <v>206</v>
      </c>
      <c r="AF32">
        <v>8.5</v>
      </c>
      <c r="AH32" t="s">
        <v>206</v>
      </c>
      <c r="AI32">
        <v>11.8</v>
      </c>
      <c r="AK32" t="s">
        <v>235</v>
      </c>
      <c r="AL32">
        <v>3.5999999999999996</v>
      </c>
      <c r="AN32" t="s">
        <v>234</v>
      </c>
      <c r="AO32">
        <v>3.8</v>
      </c>
    </row>
    <row r="33" spans="1:41" x14ac:dyDescent="0.3">
      <c r="AB33" t="s">
        <v>228</v>
      </c>
      <c r="AC33">
        <v>6.25</v>
      </c>
      <c r="AE33" t="s">
        <v>207</v>
      </c>
      <c r="AF33">
        <v>21.7</v>
      </c>
      <c r="AH33" t="s">
        <v>212</v>
      </c>
      <c r="AI33">
        <v>19</v>
      </c>
      <c r="AK33" t="s">
        <v>236</v>
      </c>
      <c r="AL33">
        <v>3.8</v>
      </c>
      <c r="AN33" t="s">
        <v>232</v>
      </c>
      <c r="AO33">
        <v>5.55</v>
      </c>
    </row>
    <row r="34" spans="1:41" x14ac:dyDescent="0.3">
      <c r="AB34" t="s">
        <v>206</v>
      </c>
      <c r="AC34">
        <v>16.200000000000003</v>
      </c>
      <c r="AE34" t="s">
        <v>212</v>
      </c>
      <c r="AF34">
        <v>30.2</v>
      </c>
      <c r="AK34" t="s">
        <v>232</v>
      </c>
      <c r="AL34">
        <v>11</v>
      </c>
      <c r="AN34" t="s">
        <v>233</v>
      </c>
      <c r="AO34">
        <v>7.95</v>
      </c>
    </row>
    <row r="35" spans="1:41" x14ac:dyDescent="0.3">
      <c r="AB35" t="s">
        <v>207</v>
      </c>
      <c r="AC35">
        <v>16.649999999999999</v>
      </c>
      <c r="AK35" t="s">
        <v>228</v>
      </c>
      <c r="AL35">
        <v>25.299999999999997</v>
      </c>
      <c r="AN35" t="s">
        <v>238</v>
      </c>
      <c r="AO35">
        <v>9.4600000000000009</v>
      </c>
    </row>
    <row r="36" spans="1:41" x14ac:dyDescent="0.3">
      <c r="AB36" t="s">
        <v>212</v>
      </c>
      <c r="AC36">
        <v>32.85</v>
      </c>
      <c r="AK36" t="s">
        <v>233</v>
      </c>
      <c r="AL36">
        <v>25.5</v>
      </c>
      <c r="AN36" t="s">
        <v>228</v>
      </c>
      <c r="AO36">
        <v>23</v>
      </c>
    </row>
    <row r="37" spans="1:41" x14ac:dyDescent="0.3">
      <c r="AK37" t="s">
        <v>206</v>
      </c>
      <c r="AL37">
        <v>74.900000000000006</v>
      </c>
      <c r="AN37" t="s">
        <v>206</v>
      </c>
      <c r="AO37">
        <v>51.4</v>
      </c>
    </row>
    <row r="38" spans="1:41" x14ac:dyDescent="0.3">
      <c r="AK38" t="s">
        <v>207</v>
      </c>
      <c r="AL38">
        <v>83.35</v>
      </c>
      <c r="AN38" t="s">
        <v>207</v>
      </c>
      <c r="AO38">
        <v>60.11</v>
      </c>
    </row>
    <row r="39" spans="1:41" x14ac:dyDescent="0.3">
      <c r="AK39" t="s">
        <v>212</v>
      </c>
      <c r="AL39">
        <v>158.25</v>
      </c>
      <c r="AN39" t="s">
        <v>212</v>
      </c>
      <c r="AO39">
        <v>111.51</v>
      </c>
    </row>
    <row r="43" spans="1:41" x14ac:dyDescent="0.3">
      <c r="A43" s="79" t="s">
        <v>208</v>
      </c>
      <c r="B43" s="79" t="s">
        <v>117</v>
      </c>
      <c r="C43" s="79" t="s">
        <v>209</v>
      </c>
      <c r="D43" s="79" t="s">
        <v>210</v>
      </c>
      <c r="E43" s="79" t="s">
        <v>211</v>
      </c>
      <c r="F43" s="79" t="s">
        <v>212</v>
      </c>
      <c r="G43" s="79" t="s">
        <v>206</v>
      </c>
      <c r="H43" s="79" t="s">
        <v>207</v>
      </c>
      <c r="I43" s="79" t="s">
        <v>196</v>
      </c>
      <c r="J43" s="79" t="s">
        <v>200</v>
      </c>
      <c r="K43" s="79" t="s">
        <v>216</v>
      </c>
      <c r="L43" s="79" t="s">
        <v>218</v>
      </c>
      <c r="M43" s="79" t="s">
        <v>203</v>
      </c>
      <c r="N43" s="79" t="s">
        <v>204</v>
      </c>
      <c r="O43" s="79" t="s">
        <v>217</v>
      </c>
      <c r="P43" s="79" t="s">
        <v>201</v>
      </c>
      <c r="Q43" s="79" t="s">
        <v>202</v>
      </c>
      <c r="R43" s="79" t="s">
        <v>197</v>
      </c>
      <c r="S43" s="79" t="s">
        <v>198</v>
      </c>
      <c r="T43" s="79" t="s">
        <v>213</v>
      </c>
      <c r="U43" s="79" t="s">
        <v>215</v>
      </c>
      <c r="V43" s="79" t="s">
        <v>214</v>
      </c>
      <c r="W43" s="79" t="s">
        <v>199</v>
      </c>
      <c r="X43" s="79" t="s">
        <v>12</v>
      </c>
      <c r="Y43" s="79" t="s">
        <v>205</v>
      </c>
    </row>
    <row r="44" spans="1:41" x14ac:dyDescent="0.3">
      <c r="A44" s="79">
        <v>1</v>
      </c>
      <c r="B44" s="98">
        <v>44186</v>
      </c>
      <c r="C44" s="79">
        <v>2</v>
      </c>
      <c r="D44" s="79">
        <v>0</v>
      </c>
      <c r="E44" s="79">
        <v>0</v>
      </c>
      <c r="F44" s="79">
        <v>32.85</v>
      </c>
      <c r="G44" s="79">
        <v>16.200000000000003</v>
      </c>
      <c r="H44" s="79">
        <v>16.649999999999999</v>
      </c>
      <c r="I44" s="79">
        <v>6.25</v>
      </c>
      <c r="J44" s="79">
        <v>0.1</v>
      </c>
      <c r="K44" s="79">
        <v>0</v>
      </c>
      <c r="L44" s="79">
        <v>2.0499999999999998</v>
      </c>
      <c r="M44" s="79">
        <v>1.65</v>
      </c>
      <c r="N44" s="79">
        <v>0</v>
      </c>
      <c r="O44" s="79">
        <v>1.2999999999999998</v>
      </c>
      <c r="P44" s="79">
        <v>1.2000000000000002</v>
      </c>
      <c r="Q44" s="79">
        <v>0</v>
      </c>
      <c r="R44" s="79">
        <v>1.2000000000000002</v>
      </c>
      <c r="S44" s="79">
        <v>1.2</v>
      </c>
      <c r="T44" s="79">
        <v>0</v>
      </c>
      <c r="U44" s="79">
        <v>0.85</v>
      </c>
      <c r="V44" s="79">
        <v>0.85</v>
      </c>
      <c r="W44" s="79">
        <v>0</v>
      </c>
      <c r="X44" s="79">
        <v>0</v>
      </c>
      <c r="Y44" s="79">
        <v>0</v>
      </c>
    </row>
    <row r="45" spans="1:41" x14ac:dyDescent="0.3">
      <c r="A45" t="s">
        <v>208</v>
      </c>
      <c r="B45" t="s">
        <v>117</v>
      </c>
      <c r="C45" t="s">
        <v>209</v>
      </c>
      <c r="D45" t="s">
        <v>210</v>
      </c>
      <c r="E45" t="s">
        <v>211</v>
      </c>
      <c r="F45" t="s">
        <v>212</v>
      </c>
      <c r="G45" t="s">
        <v>206</v>
      </c>
      <c r="H45" t="s">
        <v>207</v>
      </c>
      <c r="I45" t="s">
        <v>201</v>
      </c>
      <c r="J45" t="s">
        <v>217</v>
      </c>
      <c r="K45" t="s">
        <v>202</v>
      </c>
      <c r="L45" t="s">
        <v>196</v>
      </c>
      <c r="M45" t="s">
        <v>200</v>
      </c>
      <c r="N45" t="s">
        <v>216</v>
      </c>
      <c r="O45" t="s">
        <v>203</v>
      </c>
      <c r="P45" t="s">
        <v>218</v>
      </c>
      <c r="Q45" t="s">
        <v>204</v>
      </c>
      <c r="R45" t="s">
        <v>12</v>
      </c>
      <c r="S45" t="s">
        <v>197</v>
      </c>
      <c r="T45" t="s">
        <v>198</v>
      </c>
      <c r="U45" t="s">
        <v>214</v>
      </c>
      <c r="V45" t="s">
        <v>213</v>
      </c>
      <c r="W45" t="s">
        <v>215</v>
      </c>
      <c r="X45" t="s">
        <v>199</v>
      </c>
      <c r="Y45" t="s">
        <v>205</v>
      </c>
    </row>
    <row r="46" spans="1:41" x14ac:dyDescent="0.3">
      <c r="A46">
        <v>3</v>
      </c>
      <c r="B46" s="48">
        <v>44186</v>
      </c>
      <c r="C46">
        <v>2</v>
      </c>
      <c r="D46">
        <v>1</v>
      </c>
      <c r="E46">
        <v>0</v>
      </c>
      <c r="F46">
        <v>30.2</v>
      </c>
      <c r="G46">
        <v>8.5</v>
      </c>
      <c r="H46">
        <v>21.7</v>
      </c>
      <c r="I46">
        <v>9</v>
      </c>
      <c r="J46">
        <v>0.5</v>
      </c>
      <c r="K46">
        <v>0</v>
      </c>
      <c r="L46">
        <v>8.5</v>
      </c>
      <c r="M46">
        <v>0</v>
      </c>
      <c r="N46">
        <v>0</v>
      </c>
      <c r="O46">
        <v>2</v>
      </c>
      <c r="P46">
        <v>0</v>
      </c>
      <c r="Q46">
        <v>0</v>
      </c>
      <c r="R46">
        <v>1</v>
      </c>
      <c r="S46">
        <v>0.3</v>
      </c>
      <c r="T46">
        <v>0.2</v>
      </c>
      <c r="U46">
        <v>0.2</v>
      </c>
      <c r="V46">
        <v>0</v>
      </c>
      <c r="W46">
        <v>0</v>
      </c>
      <c r="X46">
        <v>0</v>
      </c>
      <c r="Y46">
        <v>0</v>
      </c>
    </row>
    <row r="47" spans="1:41" x14ac:dyDescent="0.3">
      <c r="A47" s="79" t="s">
        <v>208</v>
      </c>
      <c r="B47" s="79" t="s">
        <v>117</v>
      </c>
      <c r="C47" s="79" t="s">
        <v>209</v>
      </c>
      <c r="D47" s="79" t="s">
        <v>210</v>
      </c>
      <c r="E47" s="79" t="s">
        <v>211</v>
      </c>
      <c r="F47" s="79" t="s">
        <v>212</v>
      </c>
      <c r="G47" s="79" t="s">
        <v>206</v>
      </c>
      <c r="H47" s="79" t="s">
        <v>207</v>
      </c>
      <c r="I47" s="79" t="s">
        <v>196</v>
      </c>
      <c r="J47" s="79" t="s">
        <v>200</v>
      </c>
      <c r="K47" s="79" t="s">
        <v>216</v>
      </c>
      <c r="L47" s="79" t="s">
        <v>203</v>
      </c>
      <c r="M47" s="79" t="s">
        <v>218</v>
      </c>
      <c r="N47" s="79" t="s">
        <v>204</v>
      </c>
      <c r="O47" s="79" t="s">
        <v>197</v>
      </c>
      <c r="P47" s="79" t="s">
        <v>198</v>
      </c>
      <c r="Q47" s="79" t="s">
        <v>213</v>
      </c>
      <c r="R47" s="79" t="s">
        <v>217</v>
      </c>
      <c r="S47" s="79" t="s">
        <v>201</v>
      </c>
      <c r="T47" s="79" t="s">
        <v>202</v>
      </c>
      <c r="U47" s="79" t="s">
        <v>214</v>
      </c>
      <c r="V47" s="79" t="s">
        <v>12</v>
      </c>
      <c r="W47" s="79" t="s">
        <v>215</v>
      </c>
      <c r="X47" s="79" t="s">
        <v>199</v>
      </c>
      <c r="Y47" s="79" t="s">
        <v>205</v>
      </c>
    </row>
    <row r="48" spans="1:41" x14ac:dyDescent="0.3">
      <c r="A48" s="79">
        <v>4</v>
      </c>
      <c r="B48" s="98">
        <v>44186</v>
      </c>
      <c r="C48" s="79">
        <v>2</v>
      </c>
      <c r="D48" s="79">
        <v>2</v>
      </c>
      <c r="E48" s="79">
        <v>0</v>
      </c>
      <c r="F48" s="79">
        <v>19</v>
      </c>
      <c r="G48" s="79">
        <v>11.8</v>
      </c>
      <c r="H48" s="79">
        <v>7.2</v>
      </c>
      <c r="I48" s="79">
        <v>3.1</v>
      </c>
      <c r="J48" s="79">
        <v>0</v>
      </c>
      <c r="K48" s="79">
        <v>0</v>
      </c>
      <c r="L48" s="79">
        <v>1.5</v>
      </c>
      <c r="M48" s="79">
        <v>0</v>
      </c>
      <c r="N48" s="79">
        <v>0</v>
      </c>
      <c r="O48" s="79">
        <v>0.7</v>
      </c>
      <c r="P48" s="79">
        <v>0.6</v>
      </c>
      <c r="Q48" s="79">
        <v>0</v>
      </c>
      <c r="R48" s="79">
        <v>0.9</v>
      </c>
      <c r="S48" s="79">
        <v>0</v>
      </c>
      <c r="T48" s="79">
        <v>0</v>
      </c>
      <c r="U48" s="79">
        <v>0.15</v>
      </c>
      <c r="V48" s="79">
        <v>0.25</v>
      </c>
      <c r="W48" s="79">
        <v>0</v>
      </c>
      <c r="X48" s="79">
        <v>0</v>
      </c>
      <c r="Y48" s="79">
        <v>0</v>
      </c>
    </row>
    <row r="49" spans="1:25" x14ac:dyDescent="0.3">
      <c r="A49" t="s">
        <v>208</v>
      </c>
      <c r="B49" t="s">
        <v>117</v>
      </c>
      <c r="C49" t="s">
        <v>209</v>
      </c>
      <c r="D49" t="s">
        <v>210</v>
      </c>
      <c r="E49" t="s">
        <v>211</v>
      </c>
      <c r="F49" t="s">
        <v>212</v>
      </c>
      <c r="G49" t="s">
        <v>206</v>
      </c>
      <c r="H49" t="s">
        <v>207</v>
      </c>
      <c r="I49" t="s">
        <v>217</v>
      </c>
      <c r="J49" t="s">
        <v>201</v>
      </c>
      <c r="K49" t="s">
        <v>202</v>
      </c>
      <c r="L49" t="s">
        <v>196</v>
      </c>
      <c r="M49" t="s">
        <v>200</v>
      </c>
      <c r="N49" t="s">
        <v>216</v>
      </c>
      <c r="O49" t="s">
        <v>203</v>
      </c>
      <c r="P49" t="s">
        <v>218</v>
      </c>
      <c r="Q49" t="s">
        <v>204</v>
      </c>
      <c r="R49" t="s">
        <v>197</v>
      </c>
      <c r="S49" t="s">
        <v>198</v>
      </c>
      <c r="T49" t="s">
        <v>213</v>
      </c>
      <c r="U49" t="s">
        <v>215</v>
      </c>
      <c r="V49" t="s">
        <v>214</v>
      </c>
      <c r="W49" t="s">
        <v>199</v>
      </c>
      <c r="X49" t="s">
        <v>12</v>
      </c>
      <c r="Y49" t="s">
        <v>205</v>
      </c>
    </row>
    <row r="50" spans="1:25" x14ac:dyDescent="0.3">
      <c r="A50">
        <v>5</v>
      </c>
      <c r="B50" s="48"/>
      <c r="F50">
        <v>158.25</v>
      </c>
      <c r="G50">
        <v>74.900000000000006</v>
      </c>
      <c r="H50">
        <v>83.35</v>
      </c>
      <c r="I50">
        <v>25.5</v>
      </c>
      <c r="J50">
        <v>3.5</v>
      </c>
      <c r="K50">
        <v>0</v>
      </c>
      <c r="L50">
        <v>25.299999999999997</v>
      </c>
      <c r="M50">
        <v>1.325</v>
      </c>
      <c r="N50">
        <v>1.325</v>
      </c>
      <c r="O50">
        <v>11</v>
      </c>
      <c r="P50">
        <v>3.3</v>
      </c>
      <c r="Q50">
        <v>0</v>
      </c>
      <c r="R50">
        <v>3.5999999999999996</v>
      </c>
      <c r="S50">
        <v>3.8</v>
      </c>
      <c r="T50">
        <v>0.3</v>
      </c>
      <c r="U50">
        <v>1.75</v>
      </c>
      <c r="V50">
        <v>1.75</v>
      </c>
      <c r="W50">
        <v>0</v>
      </c>
      <c r="X50">
        <v>0.9</v>
      </c>
      <c r="Y50">
        <v>0</v>
      </c>
    </row>
    <row r="51" spans="1:25" x14ac:dyDescent="0.3">
      <c r="A51" s="79" t="s">
        <v>30</v>
      </c>
      <c r="B51" s="79" t="s">
        <v>17</v>
      </c>
      <c r="C51" s="79" t="s">
        <v>219</v>
      </c>
      <c r="D51" s="79" t="s">
        <v>220</v>
      </c>
      <c r="E51" s="79" t="s">
        <v>221</v>
      </c>
      <c r="F51" s="79" t="s">
        <v>212</v>
      </c>
      <c r="G51" s="79" t="s">
        <v>206</v>
      </c>
      <c r="H51" s="79" t="s">
        <v>207</v>
      </c>
      <c r="I51" s="79" t="s">
        <v>196</v>
      </c>
      <c r="J51" s="79" t="s">
        <v>222</v>
      </c>
      <c r="K51" s="79" t="s">
        <v>80</v>
      </c>
      <c r="L51" s="79" t="s">
        <v>112</v>
      </c>
      <c r="M51" s="79" t="s">
        <v>82</v>
      </c>
      <c r="N51" s="79" t="s">
        <v>84</v>
      </c>
      <c r="O51" s="79" t="s">
        <v>85</v>
      </c>
      <c r="P51" s="79" t="s">
        <v>86</v>
      </c>
      <c r="Q51" s="79" t="s">
        <v>87</v>
      </c>
      <c r="R51" s="79" t="s">
        <v>223</v>
      </c>
      <c r="S51" s="79" t="s">
        <v>76</v>
      </c>
      <c r="T51" s="79" t="s">
        <v>83</v>
      </c>
      <c r="U51" s="79" t="s">
        <v>205</v>
      </c>
      <c r="V51" s="79" t="s">
        <v>12</v>
      </c>
    </row>
    <row r="52" spans="1:25" x14ac:dyDescent="0.3">
      <c r="A52" s="79">
        <v>6</v>
      </c>
      <c r="B52" s="79" t="s">
        <v>167</v>
      </c>
      <c r="C52" s="79">
        <v>5</v>
      </c>
      <c r="D52" s="79">
        <v>0</v>
      </c>
      <c r="E52" s="79">
        <v>1</v>
      </c>
      <c r="F52" s="79">
        <v>111.51</v>
      </c>
      <c r="G52" s="80">
        <v>51.4</v>
      </c>
      <c r="H52" s="80">
        <v>60.11</v>
      </c>
      <c r="I52" s="80">
        <v>23</v>
      </c>
      <c r="J52" s="80">
        <v>0.9</v>
      </c>
      <c r="K52" s="80">
        <v>0.1</v>
      </c>
      <c r="L52" s="80">
        <v>9.4600000000000009</v>
      </c>
      <c r="M52" s="80">
        <v>3.75</v>
      </c>
      <c r="N52" s="80">
        <v>7.95</v>
      </c>
      <c r="O52" s="80">
        <v>3.8</v>
      </c>
      <c r="P52" s="80">
        <v>0.3</v>
      </c>
      <c r="Q52" s="80">
        <v>5.55</v>
      </c>
      <c r="R52" s="80">
        <v>2.7</v>
      </c>
      <c r="S52" s="80">
        <v>0.65</v>
      </c>
      <c r="T52" s="80">
        <v>0.65</v>
      </c>
      <c r="U52" s="80">
        <v>0</v>
      </c>
      <c r="V52" s="80">
        <v>1.3</v>
      </c>
    </row>
    <row r="53" spans="1:25" x14ac:dyDescent="0.3">
      <c r="B53" s="48"/>
      <c r="M53" s="79" t="s">
        <v>81</v>
      </c>
      <c r="R53" s="79" t="s">
        <v>89</v>
      </c>
      <c r="T53" s="79" t="s">
        <v>78</v>
      </c>
    </row>
    <row r="54" spans="1:25" x14ac:dyDescent="0.3">
      <c r="B54" s="48"/>
      <c r="M54" s="80">
        <v>0</v>
      </c>
      <c r="R54" s="80">
        <v>0</v>
      </c>
      <c r="T54" s="80">
        <v>0</v>
      </c>
    </row>
    <row r="57" spans="1:25" x14ac:dyDescent="0.3">
      <c r="A57" t="s">
        <v>208</v>
      </c>
      <c r="B57" t="s">
        <v>117</v>
      </c>
      <c r="C57" t="s">
        <v>209</v>
      </c>
      <c r="D57" t="s">
        <v>210</v>
      </c>
      <c r="E57" t="s">
        <v>211</v>
      </c>
      <c r="F57" t="s">
        <v>212</v>
      </c>
      <c r="G57" t="s">
        <v>206</v>
      </c>
      <c r="H57" t="s">
        <v>207</v>
      </c>
      <c r="I57" t="s">
        <v>205</v>
      </c>
      <c r="J57" t="s">
        <v>12</v>
      </c>
      <c r="K57" t="s">
        <v>5</v>
      </c>
      <c r="L57" t="s">
        <v>1</v>
      </c>
      <c r="M57" t="s">
        <v>7</v>
      </c>
      <c r="N57" t="s">
        <v>9</v>
      </c>
      <c r="O57" t="s">
        <v>6</v>
      </c>
    </row>
    <row r="58" spans="1:25" x14ac:dyDescent="0.3">
      <c r="A58">
        <v>1</v>
      </c>
      <c r="B58" s="48">
        <v>44186</v>
      </c>
      <c r="C58">
        <v>2</v>
      </c>
      <c r="D58">
        <v>0</v>
      </c>
      <c r="E58">
        <v>0</v>
      </c>
      <c r="F58">
        <v>32.85</v>
      </c>
      <c r="G58">
        <v>16.200000000000003</v>
      </c>
      <c r="H58">
        <v>16.649999999999999</v>
      </c>
      <c r="I58">
        <f>Y44</f>
        <v>0</v>
      </c>
      <c r="J58">
        <v>0</v>
      </c>
      <c r="K58">
        <f>V44+U44+W44</f>
        <v>1.7</v>
      </c>
      <c r="L58">
        <f>R44+S44+T44</f>
        <v>2.4000000000000004</v>
      </c>
      <c r="M58">
        <f>O44+P44+Q44</f>
        <v>2.5</v>
      </c>
      <c r="N58">
        <f>M44+L44+N44</f>
        <v>3.6999999999999997</v>
      </c>
      <c r="O58">
        <f>I44+J44+K44</f>
        <v>6.35</v>
      </c>
    </row>
    <row r="59" spans="1:25" x14ac:dyDescent="0.3">
      <c r="A59" s="79" t="s">
        <v>208</v>
      </c>
      <c r="B59" s="79" t="s">
        <v>117</v>
      </c>
      <c r="C59" s="79" t="s">
        <v>209</v>
      </c>
      <c r="D59" s="79" t="s">
        <v>210</v>
      </c>
      <c r="E59" s="79" t="s">
        <v>211</v>
      </c>
      <c r="F59" s="79" t="s">
        <v>212</v>
      </c>
      <c r="G59" s="79" t="s">
        <v>206</v>
      </c>
      <c r="H59" s="79" t="s">
        <v>207</v>
      </c>
      <c r="I59" s="79" t="s">
        <v>205</v>
      </c>
      <c r="J59" s="79" t="s">
        <v>5</v>
      </c>
      <c r="K59" s="79" t="s">
        <v>1</v>
      </c>
      <c r="L59" s="79" t="s">
        <v>12</v>
      </c>
      <c r="M59" s="79" t="s">
        <v>9</v>
      </c>
      <c r="N59" s="79" t="s">
        <v>6</v>
      </c>
      <c r="O59" s="79" t="s">
        <v>7</v>
      </c>
    </row>
    <row r="60" spans="1:25" x14ac:dyDescent="0.3">
      <c r="A60" s="79">
        <v>3</v>
      </c>
      <c r="B60" s="98">
        <v>44186</v>
      </c>
      <c r="C60" s="79">
        <v>2</v>
      </c>
      <c r="D60" s="79">
        <v>1</v>
      </c>
      <c r="E60" s="79">
        <v>0</v>
      </c>
      <c r="F60" s="79">
        <v>30.2</v>
      </c>
      <c r="G60" s="79">
        <v>8.5</v>
      </c>
      <c r="H60" s="79">
        <v>21.7</v>
      </c>
      <c r="I60" s="79">
        <f>Y46</f>
        <v>0</v>
      </c>
      <c r="J60" s="79">
        <f>U46+W46+X46</f>
        <v>0.2</v>
      </c>
      <c r="K60" s="79">
        <f>S46+T46+V46</f>
        <v>0.5</v>
      </c>
      <c r="L60" s="79">
        <v>1</v>
      </c>
      <c r="M60" s="79">
        <f>O46+P46+Q46</f>
        <v>2</v>
      </c>
      <c r="N60" s="79">
        <f>L46+M46+N46</f>
        <v>8.5</v>
      </c>
      <c r="O60" s="79">
        <f>J46+I46+K46</f>
        <v>9.5</v>
      </c>
    </row>
    <row r="61" spans="1:25" x14ac:dyDescent="0.3">
      <c r="A61" t="s">
        <v>208</v>
      </c>
      <c r="B61" t="s">
        <v>117</v>
      </c>
      <c r="C61" t="s">
        <v>209</v>
      </c>
      <c r="D61" t="s">
        <v>210</v>
      </c>
      <c r="E61" t="s">
        <v>211</v>
      </c>
      <c r="F61" t="s">
        <v>212</v>
      </c>
      <c r="G61" t="s">
        <v>206</v>
      </c>
      <c r="H61" t="s">
        <v>207</v>
      </c>
      <c r="I61" t="s">
        <v>205</v>
      </c>
      <c r="J61" t="s">
        <v>5</v>
      </c>
      <c r="K61" t="s">
        <v>12</v>
      </c>
      <c r="L61" t="s">
        <v>7</v>
      </c>
      <c r="M61" t="s">
        <v>1</v>
      </c>
      <c r="N61" t="s">
        <v>9</v>
      </c>
      <c r="O61" t="s">
        <v>6</v>
      </c>
    </row>
    <row r="62" spans="1:25" x14ac:dyDescent="0.3">
      <c r="A62">
        <v>4</v>
      </c>
      <c r="B62" s="48">
        <v>44186</v>
      </c>
      <c r="C62">
        <v>2</v>
      </c>
      <c r="D62">
        <v>2</v>
      </c>
      <c r="E62">
        <v>0</v>
      </c>
      <c r="F62">
        <v>19</v>
      </c>
      <c r="G62">
        <v>11.8</v>
      </c>
      <c r="H62">
        <v>7.2</v>
      </c>
      <c r="I62">
        <f>Y48</f>
        <v>0</v>
      </c>
      <c r="J62">
        <f>U48+W48+X48</f>
        <v>0.15</v>
      </c>
      <c r="K62">
        <v>0.25</v>
      </c>
      <c r="L62">
        <f>R48+S48+T48</f>
        <v>0.9</v>
      </c>
      <c r="M62">
        <f>O48+P48+Q48</f>
        <v>1.2999999999999998</v>
      </c>
      <c r="N62">
        <f>L48+M48+N48</f>
        <v>1.5</v>
      </c>
      <c r="O62">
        <f>I48+J48+K48</f>
        <v>3.1</v>
      </c>
    </row>
    <row r="63" spans="1:25" x14ac:dyDescent="0.3">
      <c r="A63" s="79" t="s">
        <v>208</v>
      </c>
      <c r="B63" s="79" t="s">
        <v>117</v>
      </c>
      <c r="C63" s="79" t="s">
        <v>209</v>
      </c>
      <c r="D63" s="79" t="s">
        <v>210</v>
      </c>
      <c r="E63" s="79" t="s">
        <v>211</v>
      </c>
      <c r="F63" s="79" t="s">
        <v>212</v>
      </c>
      <c r="G63" s="79" t="s">
        <v>206</v>
      </c>
      <c r="H63" s="79" t="s">
        <v>207</v>
      </c>
      <c r="I63" s="79" t="s">
        <v>205</v>
      </c>
      <c r="J63" s="79" t="s">
        <v>12</v>
      </c>
      <c r="K63" s="79" t="s">
        <v>5</v>
      </c>
      <c r="L63" s="79" t="s">
        <v>1</v>
      </c>
      <c r="M63" s="79" t="s">
        <v>9</v>
      </c>
      <c r="N63" s="79" t="s">
        <v>6</v>
      </c>
      <c r="O63" s="79" t="s">
        <v>7</v>
      </c>
    </row>
    <row r="64" spans="1:25" x14ac:dyDescent="0.3">
      <c r="A64" s="79">
        <v>5</v>
      </c>
      <c r="B64" s="98"/>
      <c r="C64" s="79"/>
      <c r="D64" s="79"/>
      <c r="E64" s="79"/>
      <c r="F64" s="79">
        <v>158.25</v>
      </c>
      <c r="G64" s="79">
        <v>74.900000000000006</v>
      </c>
      <c r="H64" s="79">
        <v>83.35</v>
      </c>
      <c r="I64" s="79">
        <f>Y50</f>
        <v>0</v>
      </c>
      <c r="J64" s="79">
        <v>0.9</v>
      </c>
      <c r="K64" s="79">
        <f>V50+U50+W50</f>
        <v>3.5</v>
      </c>
      <c r="L64" s="79">
        <f>R50+S50+T50</f>
        <v>7.6999999999999993</v>
      </c>
      <c r="M64" s="79">
        <f>O50+P50+Q50</f>
        <v>14.3</v>
      </c>
      <c r="N64" s="79">
        <f>L50+M50+N50</f>
        <v>27.949999999999996</v>
      </c>
      <c r="O64" s="79">
        <f>I50+J50+K50</f>
        <v>29</v>
      </c>
    </row>
    <row r="65" spans="1:23" x14ac:dyDescent="0.3">
      <c r="S65" t="s">
        <v>212</v>
      </c>
      <c r="U65" t="s">
        <v>164</v>
      </c>
      <c r="V65" t="s">
        <v>163</v>
      </c>
      <c r="W65" t="s">
        <v>226</v>
      </c>
    </row>
    <row r="66" spans="1:23" ht="15" thickBot="1" x14ac:dyDescent="0.35">
      <c r="C66" s="61"/>
      <c r="D66" s="61"/>
      <c r="E66" s="61"/>
      <c r="F66" s="61"/>
      <c r="S66" s="99">
        <v>19</v>
      </c>
      <c r="T66">
        <v>4</v>
      </c>
      <c r="U66" s="101">
        <v>11.8</v>
      </c>
      <c r="V66" s="101">
        <v>7.2</v>
      </c>
      <c r="W66" s="6">
        <f>V66/S66*100</f>
        <v>37.894736842105267</v>
      </c>
    </row>
    <row r="67" spans="1:23" ht="15" thickBot="1" x14ac:dyDescent="0.35">
      <c r="A67" s="79" t="s">
        <v>30</v>
      </c>
      <c r="B67" s="79" t="s">
        <v>17</v>
      </c>
      <c r="C67" s="79" t="s">
        <v>219</v>
      </c>
      <c r="D67" s="79" t="s">
        <v>220</v>
      </c>
      <c r="E67" s="79" t="s">
        <v>221</v>
      </c>
      <c r="F67" s="79" t="s">
        <v>212</v>
      </c>
      <c r="G67" s="79" t="s">
        <v>206</v>
      </c>
      <c r="H67" s="79" t="s">
        <v>225</v>
      </c>
      <c r="I67" s="79" t="s">
        <v>205</v>
      </c>
      <c r="J67" s="79" t="s">
        <v>12</v>
      </c>
      <c r="K67" s="79" t="s">
        <v>1</v>
      </c>
      <c r="L67" s="79" t="s">
        <v>9</v>
      </c>
      <c r="M67" s="79" t="s">
        <v>7</v>
      </c>
      <c r="N67" s="79" t="s">
        <v>5</v>
      </c>
      <c r="O67" s="79" t="s">
        <v>6</v>
      </c>
      <c r="S67" s="99">
        <v>30.2</v>
      </c>
      <c r="T67">
        <v>3</v>
      </c>
      <c r="U67" s="101">
        <v>8.5</v>
      </c>
      <c r="V67" s="101">
        <v>21.7</v>
      </c>
      <c r="W67" s="6">
        <f>V67/S67*100</f>
        <v>71.854304635761594</v>
      </c>
    </row>
    <row r="68" spans="1:23" ht="15" thickBot="1" x14ac:dyDescent="0.35">
      <c r="A68" s="79">
        <v>6</v>
      </c>
      <c r="B68" s="79" t="s">
        <v>167</v>
      </c>
      <c r="C68" s="79">
        <v>5</v>
      </c>
      <c r="D68" s="79">
        <v>0</v>
      </c>
      <c r="E68" s="79">
        <v>1</v>
      </c>
      <c r="F68" s="79">
        <v>111.51</v>
      </c>
      <c r="G68" s="79">
        <f>G52</f>
        <v>51.4</v>
      </c>
      <c r="H68" s="79">
        <v>60.11</v>
      </c>
      <c r="I68" s="79">
        <f>U52</f>
        <v>0</v>
      </c>
      <c r="J68" s="79">
        <f>V52</f>
        <v>1.3</v>
      </c>
      <c r="K68" s="80">
        <f>S52+T52</f>
        <v>1.3</v>
      </c>
      <c r="L68" s="79">
        <f>SUM(Q52:R52)</f>
        <v>8.25</v>
      </c>
      <c r="M68" s="79">
        <f>SUM(N52:P52)</f>
        <v>12.05</v>
      </c>
      <c r="N68" s="80">
        <f>M52+L52</f>
        <v>13.21</v>
      </c>
      <c r="O68" s="79">
        <f>J52+K52+I52</f>
        <v>24</v>
      </c>
      <c r="S68" s="100">
        <v>32.85</v>
      </c>
      <c r="T68">
        <v>1</v>
      </c>
      <c r="U68" s="102">
        <v>16.2</v>
      </c>
      <c r="V68" s="102">
        <v>16.649999999999999</v>
      </c>
      <c r="W68" s="6">
        <f>V68/S68*100</f>
        <v>50.68493150684931</v>
      </c>
    </row>
    <row r="69" spans="1:23" ht="15" thickBot="1" x14ac:dyDescent="0.35">
      <c r="C69" s="97"/>
      <c r="D69" s="96"/>
      <c r="E69" s="96"/>
      <c r="F69" s="3"/>
      <c r="S69" s="99">
        <v>111.51</v>
      </c>
      <c r="T69">
        <v>6</v>
      </c>
      <c r="U69" s="101">
        <v>51.4</v>
      </c>
      <c r="V69" s="101">
        <v>60.1</v>
      </c>
      <c r="W69" s="6">
        <f>V69/S69*100</f>
        <v>53.896511523630167</v>
      </c>
    </row>
    <row r="70" spans="1:23" ht="15" thickBot="1" x14ac:dyDescent="0.35">
      <c r="C70" s="97"/>
      <c r="D70" s="96"/>
      <c r="E70" s="96"/>
      <c r="F70" s="3"/>
      <c r="S70" s="99">
        <v>158.25</v>
      </c>
      <c r="T70">
        <v>5</v>
      </c>
      <c r="U70" s="101">
        <v>74.900000000000006</v>
      </c>
      <c r="V70" s="101">
        <v>83.35</v>
      </c>
      <c r="W70" s="6">
        <f>V70/S70*100</f>
        <v>52.669826224328588</v>
      </c>
    </row>
    <row r="72" spans="1:23" x14ac:dyDescent="0.3">
      <c r="C72" s="61"/>
      <c r="D72" s="61"/>
      <c r="E72" s="61"/>
      <c r="F72" s="61"/>
    </row>
    <row r="73" spans="1:23" x14ac:dyDescent="0.3">
      <c r="C73" s="97"/>
      <c r="D73" s="96"/>
      <c r="E73" s="96"/>
      <c r="F73" s="3"/>
    </row>
    <row r="74" spans="1:23" x14ac:dyDescent="0.3">
      <c r="C74" s="97"/>
      <c r="D74" s="96"/>
    </row>
    <row r="75" spans="1:23" x14ac:dyDescent="0.3">
      <c r="C75" s="97"/>
      <c r="D75" s="96"/>
    </row>
    <row r="76" spans="1:23" x14ac:dyDescent="0.3">
      <c r="C76" s="97"/>
      <c r="D76" s="96"/>
      <c r="E76" s="96"/>
      <c r="F76" s="3"/>
    </row>
  </sheetData>
  <sortState ref="AN24:AO39">
    <sortCondition ref="AO24:AO39"/>
  </sortState>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6"/>
  <sheetViews>
    <sheetView zoomScale="90" workbookViewId="0">
      <pane ySplit="1" topLeftCell="A2" activePane="bottomLeft" state="frozen"/>
      <selection pane="bottomLeft" activeCell="V47" sqref="V47"/>
    </sheetView>
  </sheetViews>
  <sheetFormatPr defaultColWidth="11.5546875" defaultRowHeight="14.4" x14ac:dyDescent="0.3"/>
  <cols>
    <col min="3" max="3" width="12.44140625" bestFit="1" customWidth="1"/>
    <col min="4" max="6" width="12.44140625" customWidth="1"/>
    <col min="31" max="31" width="10.77734375" style="6"/>
  </cols>
  <sheetData>
    <row r="1" spans="1:31" x14ac:dyDescent="0.3">
      <c r="H1">
        <v>1</v>
      </c>
      <c r="I1">
        <v>2</v>
      </c>
      <c r="J1">
        <v>3</v>
      </c>
      <c r="K1">
        <v>4</v>
      </c>
      <c r="L1">
        <v>5</v>
      </c>
      <c r="M1">
        <v>6</v>
      </c>
      <c r="N1">
        <v>7</v>
      </c>
      <c r="O1">
        <v>8</v>
      </c>
      <c r="P1">
        <v>9</v>
      </c>
      <c r="Q1">
        <v>10</v>
      </c>
      <c r="R1">
        <v>11</v>
      </c>
      <c r="S1">
        <v>12</v>
      </c>
      <c r="T1">
        <v>13</v>
      </c>
    </row>
    <row r="2" spans="1:31" s="47" customFormat="1" ht="28.8" x14ac:dyDescent="0.3">
      <c r="A2" s="47" t="s">
        <v>118</v>
      </c>
      <c r="B2" s="44" t="s">
        <v>111</v>
      </c>
      <c r="C2" s="49" t="s">
        <v>108</v>
      </c>
      <c r="D2" s="49" t="s">
        <v>109</v>
      </c>
      <c r="E2" s="49" t="s">
        <v>106</v>
      </c>
      <c r="F2" s="49" t="s">
        <v>107</v>
      </c>
      <c r="G2" s="49" t="s">
        <v>110</v>
      </c>
      <c r="H2" s="45" t="s">
        <v>0</v>
      </c>
      <c r="I2" s="44" t="s">
        <v>94</v>
      </c>
      <c r="J2" s="44" t="s">
        <v>95</v>
      </c>
      <c r="K2" s="44" t="s">
        <v>82</v>
      </c>
      <c r="L2" s="44" t="s">
        <v>77</v>
      </c>
      <c r="M2" s="44" t="s">
        <v>79</v>
      </c>
      <c r="N2" s="44" t="s">
        <v>80</v>
      </c>
      <c r="O2" s="44" t="s">
        <v>84</v>
      </c>
      <c r="P2" s="49" t="s">
        <v>85</v>
      </c>
      <c r="Q2" s="44" t="s">
        <v>87</v>
      </c>
      <c r="R2" s="44" t="s">
        <v>88</v>
      </c>
      <c r="S2" s="44" t="s">
        <v>12</v>
      </c>
      <c r="T2" s="44" t="s">
        <v>91</v>
      </c>
      <c r="U2" s="49" t="s">
        <v>78</v>
      </c>
      <c r="V2" s="44" t="s">
        <v>81</v>
      </c>
      <c r="W2" s="49" t="s">
        <v>86</v>
      </c>
      <c r="X2" s="44" t="s">
        <v>89</v>
      </c>
      <c r="Y2" s="44" t="s">
        <v>90</v>
      </c>
      <c r="Z2" s="55" t="s">
        <v>96</v>
      </c>
      <c r="AA2" s="46" t="s">
        <v>100</v>
      </c>
      <c r="AE2" s="57"/>
    </row>
    <row r="3" spans="1:31" x14ac:dyDescent="0.3">
      <c r="A3">
        <v>1</v>
      </c>
      <c r="B3" s="48">
        <v>44186</v>
      </c>
      <c r="C3">
        <v>1</v>
      </c>
      <c r="D3">
        <v>141</v>
      </c>
      <c r="E3">
        <v>88</v>
      </c>
      <c r="F3">
        <v>17</v>
      </c>
      <c r="G3" s="3">
        <f>SUM(H3:Y3)</f>
        <v>104.44999999999999</v>
      </c>
      <c r="H3" s="3">
        <v>25.4</v>
      </c>
      <c r="I3" s="3">
        <v>2.1999999999999997</v>
      </c>
      <c r="J3" s="3">
        <v>1.9</v>
      </c>
      <c r="K3" s="3">
        <v>0.35</v>
      </c>
      <c r="L3" s="3">
        <v>0.15</v>
      </c>
      <c r="M3" s="3">
        <v>1.0249999999999999</v>
      </c>
      <c r="N3" s="3">
        <v>1.0249999999999999</v>
      </c>
      <c r="O3" s="3">
        <v>11.4</v>
      </c>
      <c r="P3" s="3">
        <v>11</v>
      </c>
      <c r="Q3" s="3">
        <v>8</v>
      </c>
      <c r="R3" s="3">
        <v>1.7</v>
      </c>
      <c r="S3" s="3">
        <v>1.9</v>
      </c>
      <c r="T3" s="3">
        <v>38.4</v>
      </c>
      <c r="U3" s="3">
        <v>0</v>
      </c>
      <c r="V3" s="3">
        <v>0</v>
      </c>
      <c r="W3" s="3">
        <v>0</v>
      </c>
      <c r="X3" s="3">
        <v>0</v>
      </c>
      <c r="Y3" s="3">
        <v>0</v>
      </c>
      <c r="Z3" s="16">
        <f>(SUM(H3:S3)/G3)*100</f>
        <v>63.235998085208237</v>
      </c>
      <c r="AA3" s="3">
        <f>SUM(H3:R3)</f>
        <v>64.149999999999991</v>
      </c>
    </row>
    <row r="4" spans="1:31" x14ac:dyDescent="0.3">
      <c r="A4">
        <v>2</v>
      </c>
      <c r="B4" s="48">
        <v>44186</v>
      </c>
      <c r="C4">
        <v>2</v>
      </c>
      <c r="D4">
        <v>9999</v>
      </c>
      <c r="E4">
        <v>9999</v>
      </c>
      <c r="F4">
        <v>9999</v>
      </c>
      <c r="G4" s="3">
        <f t="shared" ref="G4:G19" si="0">SUM(H4:Y4)</f>
        <v>135.85000000000002</v>
      </c>
      <c r="H4" s="3">
        <v>17.75</v>
      </c>
      <c r="I4" s="3">
        <v>3.6</v>
      </c>
      <c r="J4" s="3">
        <v>3.9000000000000004</v>
      </c>
      <c r="K4" s="3">
        <v>2.6</v>
      </c>
      <c r="L4" s="3">
        <v>2.4500000000000002</v>
      </c>
      <c r="M4" s="3">
        <v>0.4</v>
      </c>
      <c r="N4" s="3">
        <v>0.3</v>
      </c>
      <c r="O4" s="3">
        <v>16.8</v>
      </c>
      <c r="P4" s="3">
        <v>2.7</v>
      </c>
      <c r="Q4" s="3">
        <v>8.15</v>
      </c>
      <c r="R4" s="3">
        <v>3.6499999999999995</v>
      </c>
      <c r="S4" s="3">
        <v>0.25</v>
      </c>
      <c r="T4" s="3">
        <v>73</v>
      </c>
      <c r="U4" s="3">
        <v>0.3</v>
      </c>
      <c r="V4" s="3">
        <v>0</v>
      </c>
      <c r="W4" s="3">
        <v>0</v>
      </c>
      <c r="X4" s="3">
        <v>0</v>
      </c>
      <c r="Y4" s="3">
        <v>0</v>
      </c>
      <c r="Z4" s="16">
        <f t="shared" ref="Z4:Z18" si="1">(SUM(H4:S4)/G4)*100</f>
        <v>46.043430253956558</v>
      </c>
      <c r="AA4" s="3">
        <f t="shared" ref="AA4:AA19" si="2">SUM(H4:R4)</f>
        <v>62.3</v>
      </c>
    </row>
    <row r="5" spans="1:31" x14ac:dyDescent="0.3">
      <c r="A5">
        <v>3</v>
      </c>
      <c r="B5" s="48">
        <v>44187</v>
      </c>
      <c r="C5">
        <v>1</v>
      </c>
      <c r="D5">
        <v>300</v>
      </c>
      <c r="E5">
        <v>90</v>
      </c>
      <c r="F5">
        <v>22</v>
      </c>
      <c r="G5" s="3">
        <f t="shared" si="0"/>
        <v>86.8</v>
      </c>
      <c r="H5" s="3">
        <v>8</v>
      </c>
      <c r="I5" s="3">
        <v>2.4500000000000002</v>
      </c>
      <c r="J5" s="3">
        <v>2.7</v>
      </c>
      <c r="K5" s="3">
        <v>0.9</v>
      </c>
      <c r="L5" s="3">
        <v>0.2</v>
      </c>
      <c r="M5" s="3">
        <v>1.85</v>
      </c>
      <c r="N5" s="3">
        <v>1.5</v>
      </c>
      <c r="O5" s="3">
        <v>1.6</v>
      </c>
      <c r="P5" s="3">
        <v>0.95000000000000007</v>
      </c>
      <c r="Q5" s="3">
        <v>12.5</v>
      </c>
      <c r="R5" s="3">
        <v>1.75</v>
      </c>
      <c r="S5" s="3">
        <v>0.5</v>
      </c>
      <c r="T5" s="3">
        <v>51.9</v>
      </c>
      <c r="U5" s="3">
        <v>0</v>
      </c>
      <c r="V5" s="3">
        <v>0</v>
      </c>
      <c r="W5" s="3">
        <v>0</v>
      </c>
      <c r="X5" s="3">
        <v>0</v>
      </c>
      <c r="Y5" s="3">
        <v>0</v>
      </c>
      <c r="Z5" s="16">
        <f t="shared" si="1"/>
        <v>40.207373271889402</v>
      </c>
      <c r="AA5" s="3">
        <f t="shared" si="2"/>
        <v>34.4</v>
      </c>
    </row>
    <row r="6" spans="1:31" x14ac:dyDescent="0.3">
      <c r="A6">
        <v>4</v>
      </c>
      <c r="B6" s="48">
        <v>44187</v>
      </c>
      <c r="C6">
        <v>2</v>
      </c>
      <c r="D6">
        <v>306</v>
      </c>
      <c r="E6">
        <v>174</v>
      </c>
      <c r="F6">
        <v>22</v>
      </c>
      <c r="G6" s="3">
        <f t="shared" si="0"/>
        <v>79.050000000000011</v>
      </c>
      <c r="H6" s="3">
        <v>12.4</v>
      </c>
      <c r="I6" s="3">
        <v>3.25</v>
      </c>
      <c r="J6" s="3">
        <v>3.25</v>
      </c>
      <c r="K6" s="3">
        <v>1.85</v>
      </c>
      <c r="L6" s="3">
        <v>0.55000000000000004</v>
      </c>
      <c r="M6" s="3">
        <v>0.5</v>
      </c>
      <c r="N6" s="3">
        <v>0.25</v>
      </c>
      <c r="O6" s="3">
        <v>5</v>
      </c>
      <c r="P6" s="3">
        <v>1.7000000000000002</v>
      </c>
      <c r="Q6" s="3">
        <v>8.3000000000000007</v>
      </c>
      <c r="R6" s="3">
        <v>2.95</v>
      </c>
      <c r="S6" s="3">
        <v>1.95</v>
      </c>
      <c r="T6" s="3">
        <v>37.1</v>
      </c>
      <c r="U6" s="3">
        <v>0</v>
      </c>
      <c r="V6" s="3">
        <v>0</v>
      </c>
      <c r="W6" s="3">
        <v>0</v>
      </c>
      <c r="X6" s="3">
        <v>0</v>
      </c>
      <c r="Y6" s="3">
        <v>0</v>
      </c>
      <c r="Z6" s="16">
        <f t="shared" si="1"/>
        <v>53.067678684376972</v>
      </c>
      <c r="AA6" s="3">
        <f t="shared" si="2"/>
        <v>40</v>
      </c>
    </row>
    <row r="7" spans="1:31" x14ac:dyDescent="0.3">
      <c r="A7">
        <v>5</v>
      </c>
      <c r="B7" s="48">
        <v>44188</v>
      </c>
      <c r="C7">
        <v>1</v>
      </c>
      <c r="D7">
        <v>340</v>
      </c>
      <c r="E7">
        <v>33</v>
      </c>
      <c r="F7">
        <v>26</v>
      </c>
      <c r="G7" s="3">
        <f t="shared" si="0"/>
        <v>119.19999999999997</v>
      </c>
      <c r="H7" s="3">
        <v>11.25</v>
      </c>
      <c r="I7" s="3">
        <v>3.85</v>
      </c>
      <c r="J7" s="3">
        <v>1.4</v>
      </c>
      <c r="K7" s="3">
        <v>5.8999999999999995</v>
      </c>
      <c r="L7" s="3">
        <v>1.9</v>
      </c>
      <c r="M7" s="3">
        <v>1.325</v>
      </c>
      <c r="N7" s="3">
        <v>0.875</v>
      </c>
      <c r="O7" s="3">
        <v>5.8</v>
      </c>
      <c r="P7" s="3">
        <v>0.65</v>
      </c>
      <c r="Q7" s="3">
        <v>5.3</v>
      </c>
      <c r="R7" s="3">
        <v>2.5</v>
      </c>
      <c r="S7" s="3">
        <v>1.6500000000000001</v>
      </c>
      <c r="T7" s="3">
        <v>76.199999999999989</v>
      </c>
      <c r="U7" s="3">
        <v>0</v>
      </c>
      <c r="V7" s="3">
        <v>0</v>
      </c>
      <c r="W7" s="3">
        <v>0</v>
      </c>
      <c r="X7" s="3">
        <v>0.6</v>
      </c>
      <c r="Y7" s="3">
        <v>0</v>
      </c>
      <c r="Z7" s="16">
        <f t="shared" si="1"/>
        <v>35.570469798657719</v>
      </c>
      <c r="AA7" s="3">
        <f t="shared" si="2"/>
        <v>40.749999999999993</v>
      </c>
    </row>
    <row r="8" spans="1:31" x14ac:dyDescent="0.3">
      <c r="A8">
        <v>6</v>
      </c>
      <c r="B8" s="48">
        <v>44188</v>
      </c>
      <c r="C8">
        <v>2</v>
      </c>
      <c r="D8">
        <v>324</v>
      </c>
      <c r="E8">
        <v>31</v>
      </c>
      <c r="F8">
        <v>25</v>
      </c>
      <c r="G8" s="3">
        <f t="shared" si="0"/>
        <v>93.5</v>
      </c>
      <c r="H8" s="3">
        <v>11.7</v>
      </c>
      <c r="I8" s="3">
        <v>3.95</v>
      </c>
      <c r="J8" s="3">
        <v>1.8</v>
      </c>
      <c r="K8" s="3">
        <v>4.3</v>
      </c>
      <c r="L8" s="3">
        <v>3.2</v>
      </c>
      <c r="M8" s="3">
        <v>0.75</v>
      </c>
      <c r="N8" s="3">
        <v>0.3</v>
      </c>
      <c r="O8" s="3">
        <v>5.2</v>
      </c>
      <c r="P8" s="3">
        <v>1.2</v>
      </c>
      <c r="Q8" s="3">
        <v>12.450000000000001</v>
      </c>
      <c r="R8" s="3">
        <v>1.65</v>
      </c>
      <c r="S8" s="3">
        <v>0.8</v>
      </c>
      <c r="T8" s="3">
        <v>46.199999999999996</v>
      </c>
      <c r="U8" s="3">
        <v>0</v>
      </c>
      <c r="V8" s="3">
        <v>0</v>
      </c>
      <c r="W8" s="3">
        <v>0</v>
      </c>
      <c r="X8" s="3">
        <v>0</v>
      </c>
      <c r="Y8" s="3">
        <v>0</v>
      </c>
      <c r="Z8" s="16">
        <f t="shared" si="1"/>
        <v>50.588235294117645</v>
      </c>
      <c r="AA8" s="3">
        <f t="shared" si="2"/>
        <v>46.5</v>
      </c>
    </row>
    <row r="9" spans="1:31" x14ac:dyDescent="0.3">
      <c r="A9">
        <v>7</v>
      </c>
      <c r="B9" s="48">
        <v>44189</v>
      </c>
      <c r="C9">
        <v>1</v>
      </c>
      <c r="D9">
        <v>374</v>
      </c>
      <c r="E9">
        <v>69</v>
      </c>
      <c r="F9">
        <v>24</v>
      </c>
      <c r="G9" s="3">
        <f t="shared" si="0"/>
        <v>34.080000000000005</v>
      </c>
      <c r="H9" s="3">
        <v>1.5999999999999999</v>
      </c>
      <c r="I9" s="3">
        <v>0.05</v>
      </c>
      <c r="J9" s="3">
        <v>0.05</v>
      </c>
      <c r="K9" s="3">
        <v>0</v>
      </c>
      <c r="L9" s="3">
        <v>0.8</v>
      </c>
      <c r="M9" s="3">
        <v>0</v>
      </c>
      <c r="N9" s="3">
        <v>0</v>
      </c>
      <c r="O9" s="3">
        <v>2.9</v>
      </c>
      <c r="P9" s="3">
        <v>0.45</v>
      </c>
      <c r="Q9" s="3">
        <v>6.93</v>
      </c>
      <c r="R9" s="3">
        <v>0.19999999999999998</v>
      </c>
      <c r="S9" s="3">
        <v>0</v>
      </c>
      <c r="T9" s="3">
        <v>21</v>
      </c>
      <c r="U9" s="3">
        <v>0</v>
      </c>
      <c r="V9" s="3">
        <v>0</v>
      </c>
      <c r="W9" s="3">
        <v>0.1</v>
      </c>
      <c r="X9" s="3">
        <v>0</v>
      </c>
      <c r="Y9" s="3">
        <v>0</v>
      </c>
      <c r="Z9" s="16">
        <f t="shared" si="1"/>
        <v>38.086854460093896</v>
      </c>
      <c r="AA9" s="3">
        <f t="shared" si="2"/>
        <v>12.98</v>
      </c>
    </row>
    <row r="10" spans="1:31" x14ac:dyDescent="0.3">
      <c r="A10">
        <v>8</v>
      </c>
      <c r="B10" s="48">
        <v>44189</v>
      </c>
      <c r="C10">
        <v>2</v>
      </c>
      <c r="D10">
        <v>9999</v>
      </c>
      <c r="E10">
        <v>9999</v>
      </c>
      <c r="F10">
        <v>9999</v>
      </c>
      <c r="G10" s="3">
        <f t="shared" si="0"/>
        <v>188.42999999999998</v>
      </c>
      <c r="H10" s="3">
        <v>30.42</v>
      </c>
      <c r="I10" s="3">
        <v>5.59</v>
      </c>
      <c r="J10" s="3">
        <v>1.9899999999999998</v>
      </c>
      <c r="K10" s="3">
        <v>4.24</v>
      </c>
      <c r="L10" s="3">
        <v>14.8</v>
      </c>
      <c r="M10" s="3">
        <v>1.8</v>
      </c>
      <c r="N10" s="3">
        <v>0.1</v>
      </c>
      <c r="O10" s="3">
        <v>23.7</v>
      </c>
      <c r="P10" s="3">
        <v>3.88</v>
      </c>
      <c r="Q10" s="3">
        <v>15.780000000000001</v>
      </c>
      <c r="R10" s="3">
        <v>6.82</v>
      </c>
      <c r="S10" s="3">
        <v>1.3</v>
      </c>
      <c r="T10" s="3">
        <v>77.049999999999983</v>
      </c>
      <c r="U10" s="3">
        <v>0</v>
      </c>
      <c r="V10" s="3">
        <v>0</v>
      </c>
      <c r="W10" s="3">
        <v>0.3</v>
      </c>
      <c r="X10" s="3">
        <v>0.66</v>
      </c>
      <c r="Y10" s="3">
        <v>0</v>
      </c>
      <c r="Z10" s="16">
        <f t="shared" si="1"/>
        <v>58.600010614021123</v>
      </c>
      <c r="AA10" s="3">
        <f t="shared" si="2"/>
        <v>109.12</v>
      </c>
    </row>
    <row r="11" spans="1:31" x14ac:dyDescent="0.3">
      <c r="A11">
        <v>9</v>
      </c>
      <c r="B11" s="48">
        <v>44191</v>
      </c>
      <c r="C11">
        <v>1</v>
      </c>
      <c r="D11">
        <v>378</v>
      </c>
      <c r="E11">
        <v>25</v>
      </c>
      <c r="F11">
        <v>19</v>
      </c>
      <c r="G11" s="3">
        <f t="shared" si="0"/>
        <v>130.85499999999999</v>
      </c>
      <c r="H11" s="3">
        <v>11.5</v>
      </c>
      <c r="I11" s="3">
        <v>6.98</v>
      </c>
      <c r="J11" s="3">
        <v>2.6950000000000003</v>
      </c>
      <c r="K11" s="3">
        <v>0.25</v>
      </c>
      <c r="L11" s="3">
        <v>2.7</v>
      </c>
      <c r="M11" s="3">
        <v>0</v>
      </c>
      <c r="N11" s="3">
        <v>1.2</v>
      </c>
      <c r="O11" s="3">
        <v>2.88</v>
      </c>
      <c r="P11" s="3">
        <v>0.95000000000000007</v>
      </c>
      <c r="Q11" s="3">
        <v>14.08</v>
      </c>
      <c r="R11" s="3">
        <v>4.2</v>
      </c>
      <c r="S11" s="3">
        <v>0.12</v>
      </c>
      <c r="T11" s="3">
        <v>83.3</v>
      </c>
      <c r="U11" s="3">
        <v>0</v>
      </c>
      <c r="V11" s="3">
        <v>0</v>
      </c>
      <c r="W11" s="3">
        <v>0</v>
      </c>
      <c r="X11" s="3">
        <v>0</v>
      </c>
      <c r="Y11" s="3">
        <v>0</v>
      </c>
      <c r="Z11" s="16">
        <f t="shared" si="1"/>
        <v>36.341752321271635</v>
      </c>
      <c r="AA11" s="3">
        <f t="shared" si="2"/>
        <v>47.435000000000002</v>
      </c>
    </row>
    <row r="12" spans="1:31" x14ac:dyDescent="0.3">
      <c r="A12">
        <v>10</v>
      </c>
      <c r="B12" s="48">
        <v>44191</v>
      </c>
      <c r="C12">
        <v>2</v>
      </c>
      <c r="D12">
        <v>9999</v>
      </c>
      <c r="E12">
        <v>9999</v>
      </c>
      <c r="F12">
        <v>9999</v>
      </c>
      <c r="G12" s="3">
        <f t="shared" si="0"/>
        <v>356.35500000000002</v>
      </c>
      <c r="H12" s="3">
        <v>26.61</v>
      </c>
      <c r="I12" s="3">
        <v>10.050000000000001</v>
      </c>
      <c r="J12" s="3">
        <v>3.7050000000000001</v>
      </c>
      <c r="K12" s="3">
        <v>4.12</v>
      </c>
      <c r="L12" s="3">
        <v>16.309999999999999</v>
      </c>
      <c r="M12" s="3">
        <v>0.7</v>
      </c>
      <c r="N12" s="3">
        <v>0.8</v>
      </c>
      <c r="O12" s="3">
        <v>4.16</v>
      </c>
      <c r="P12" s="3">
        <v>4.2699999999999996</v>
      </c>
      <c r="Q12" s="3">
        <v>18.559999999999999</v>
      </c>
      <c r="R12" s="3">
        <v>10.11</v>
      </c>
      <c r="S12" s="3">
        <v>6.17</v>
      </c>
      <c r="T12" s="3">
        <v>185.25</v>
      </c>
      <c r="U12" s="3">
        <v>0</v>
      </c>
      <c r="V12" s="3">
        <v>0</v>
      </c>
      <c r="W12" s="3">
        <v>65.539999999999992</v>
      </c>
      <c r="X12" s="3">
        <v>0</v>
      </c>
      <c r="Y12" s="3">
        <v>0</v>
      </c>
      <c r="Z12" s="16">
        <f t="shared" si="1"/>
        <v>29.623549550307978</v>
      </c>
      <c r="AA12" s="3">
        <f t="shared" si="2"/>
        <v>99.394999999999982</v>
      </c>
    </row>
    <row r="13" spans="1:31" x14ac:dyDescent="0.3">
      <c r="A13">
        <v>11</v>
      </c>
      <c r="B13" s="48">
        <v>44192</v>
      </c>
      <c r="C13">
        <v>1</v>
      </c>
      <c r="D13">
        <v>9999</v>
      </c>
      <c r="E13">
        <v>9999</v>
      </c>
      <c r="F13">
        <v>9999</v>
      </c>
      <c r="G13" s="3">
        <f t="shared" si="0"/>
        <v>314.435</v>
      </c>
      <c r="H13" s="3">
        <v>19.049999999999997</v>
      </c>
      <c r="I13" s="3">
        <v>4.8666666666666671</v>
      </c>
      <c r="J13" s="3">
        <v>2.8133333333333335</v>
      </c>
      <c r="K13" s="3">
        <v>3.1300000000000003</v>
      </c>
      <c r="L13" s="3">
        <v>11.08</v>
      </c>
      <c r="M13" s="3">
        <v>3.125</v>
      </c>
      <c r="N13" s="3">
        <v>0</v>
      </c>
      <c r="O13" s="3">
        <v>13.4</v>
      </c>
      <c r="P13" s="3">
        <v>5.2</v>
      </c>
      <c r="Q13" s="3">
        <v>14.700000000000001</v>
      </c>
      <c r="R13" s="3">
        <v>4.84</v>
      </c>
      <c r="S13" s="3">
        <v>3.15</v>
      </c>
      <c r="T13" s="3">
        <v>190.2</v>
      </c>
      <c r="U13" s="3">
        <v>0</v>
      </c>
      <c r="V13" s="3">
        <v>0</v>
      </c>
      <c r="W13" s="3">
        <v>38.880000000000003</v>
      </c>
      <c r="X13" s="3">
        <v>0</v>
      </c>
      <c r="Y13" s="3">
        <v>0</v>
      </c>
      <c r="Z13" s="16">
        <f t="shared" si="1"/>
        <v>27.145514971297725</v>
      </c>
      <c r="AA13" s="3">
        <f t="shared" si="2"/>
        <v>82.204999999999998</v>
      </c>
    </row>
    <row r="14" spans="1:31" x14ac:dyDescent="0.3">
      <c r="A14">
        <v>12</v>
      </c>
      <c r="B14" s="48">
        <v>44193</v>
      </c>
      <c r="C14">
        <v>1</v>
      </c>
      <c r="D14">
        <v>326</v>
      </c>
      <c r="E14">
        <v>28</v>
      </c>
      <c r="F14">
        <v>19</v>
      </c>
      <c r="G14" s="3">
        <f t="shared" si="0"/>
        <v>132.55500000000001</v>
      </c>
      <c r="H14" s="3">
        <v>11.16</v>
      </c>
      <c r="I14" s="3">
        <v>1.9125000000000001</v>
      </c>
      <c r="J14" s="3">
        <v>0.79250000000000009</v>
      </c>
      <c r="K14" s="3">
        <v>1.24</v>
      </c>
      <c r="L14" s="3">
        <v>4.9399999999999995</v>
      </c>
      <c r="M14" s="3">
        <v>2.15</v>
      </c>
      <c r="N14" s="3">
        <v>0</v>
      </c>
      <c r="O14" s="3">
        <v>9.120000000000001</v>
      </c>
      <c r="P14" s="3">
        <v>0.9900000000000001</v>
      </c>
      <c r="Q14" s="3">
        <v>7.4700000000000006</v>
      </c>
      <c r="R14" s="3">
        <v>2.5499999999999998</v>
      </c>
      <c r="S14" s="3">
        <v>3</v>
      </c>
      <c r="T14" s="3">
        <v>83.7</v>
      </c>
      <c r="U14" s="3">
        <v>0</v>
      </c>
      <c r="V14" s="3">
        <v>0</v>
      </c>
      <c r="W14" s="3">
        <v>3.53</v>
      </c>
      <c r="X14" s="3">
        <v>0</v>
      </c>
      <c r="Y14" s="3">
        <v>0</v>
      </c>
      <c r="Z14" s="16">
        <f t="shared" si="1"/>
        <v>34.193353702236799</v>
      </c>
      <c r="AA14" s="3">
        <f t="shared" si="2"/>
        <v>42.324999999999996</v>
      </c>
    </row>
    <row r="15" spans="1:31" x14ac:dyDescent="0.3">
      <c r="A15">
        <v>13</v>
      </c>
      <c r="B15" s="48">
        <v>44193</v>
      </c>
      <c r="C15">
        <v>2</v>
      </c>
      <c r="D15">
        <v>363</v>
      </c>
      <c r="E15">
        <v>25</v>
      </c>
      <c r="F15">
        <v>18</v>
      </c>
      <c r="G15" s="3">
        <f t="shared" si="0"/>
        <v>126.90000000000002</v>
      </c>
      <c r="H15" s="3">
        <v>6.7</v>
      </c>
      <c r="I15" s="3">
        <v>6.7</v>
      </c>
      <c r="J15" s="3">
        <v>2.76</v>
      </c>
      <c r="K15" s="3">
        <v>0.72000000000000008</v>
      </c>
      <c r="L15" s="3">
        <v>3.9899999999999998</v>
      </c>
      <c r="M15" s="3">
        <v>1.7999999999999998</v>
      </c>
      <c r="N15" s="3">
        <v>1.3199999999999998</v>
      </c>
      <c r="O15" s="3">
        <v>11.799999999999999</v>
      </c>
      <c r="P15" s="3">
        <v>1.34</v>
      </c>
      <c r="Q15" s="3">
        <v>9.6300000000000008</v>
      </c>
      <c r="R15" s="3">
        <v>5.39</v>
      </c>
      <c r="S15" s="3">
        <v>1.5</v>
      </c>
      <c r="T15" s="3">
        <v>73.250000000000014</v>
      </c>
      <c r="U15" s="3">
        <v>0</v>
      </c>
      <c r="V15" s="3">
        <v>0</v>
      </c>
      <c r="W15" s="3">
        <v>0</v>
      </c>
      <c r="X15" s="3">
        <v>0</v>
      </c>
      <c r="Y15" s="3">
        <v>0</v>
      </c>
      <c r="Z15" s="16">
        <f t="shared" si="1"/>
        <v>42.277383766745466</v>
      </c>
      <c r="AA15" s="3">
        <f t="shared" si="2"/>
        <v>52.150000000000006</v>
      </c>
    </row>
    <row r="16" spans="1:31" x14ac:dyDescent="0.3">
      <c r="A16">
        <v>14</v>
      </c>
      <c r="B16" s="48">
        <v>44194</v>
      </c>
      <c r="C16">
        <v>1</v>
      </c>
      <c r="D16">
        <v>9999</v>
      </c>
      <c r="E16">
        <v>9999</v>
      </c>
      <c r="F16">
        <v>9999</v>
      </c>
      <c r="G16" s="3">
        <f t="shared" si="0"/>
        <v>164.99999999999994</v>
      </c>
      <c r="H16" s="3">
        <v>8.6999999999999993</v>
      </c>
      <c r="I16" s="3">
        <v>3.7250000000000001</v>
      </c>
      <c r="J16" s="3">
        <v>3.5250000000000004</v>
      </c>
      <c r="K16" s="3">
        <v>5.629999999999999</v>
      </c>
      <c r="L16" s="3">
        <v>7.3199999999999994</v>
      </c>
      <c r="M16" s="3">
        <v>1.8100000000000003</v>
      </c>
      <c r="N16" s="3">
        <v>1</v>
      </c>
      <c r="O16" s="3">
        <v>5.54</v>
      </c>
      <c r="P16" s="3">
        <v>1.4100000000000001</v>
      </c>
      <c r="Q16" s="3">
        <v>21.799999999999997</v>
      </c>
      <c r="R16" s="3">
        <v>13.49</v>
      </c>
      <c r="S16" s="3">
        <v>0</v>
      </c>
      <c r="T16" s="3">
        <v>87.84999999999998</v>
      </c>
      <c r="U16" s="3">
        <v>0</v>
      </c>
      <c r="V16" s="3">
        <v>0</v>
      </c>
      <c r="W16" s="3">
        <v>3.1999999999999997</v>
      </c>
      <c r="X16" s="3">
        <v>0</v>
      </c>
      <c r="Y16" s="3">
        <v>0</v>
      </c>
      <c r="Z16" s="16">
        <f t="shared" si="1"/>
        <v>44.818181818181827</v>
      </c>
      <c r="AA16" s="3">
        <f t="shared" si="2"/>
        <v>73.949999999999989</v>
      </c>
    </row>
    <row r="17" spans="1:33" x14ac:dyDescent="0.3">
      <c r="A17">
        <v>15</v>
      </c>
      <c r="B17" s="48">
        <v>44194</v>
      </c>
      <c r="C17">
        <v>2</v>
      </c>
      <c r="D17">
        <v>462</v>
      </c>
      <c r="E17">
        <v>27</v>
      </c>
      <c r="F17">
        <v>18</v>
      </c>
      <c r="G17" s="3">
        <f t="shared" si="0"/>
        <v>125.31</v>
      </c>
      <c r="H17" s="3">
        <v>3.6499999999999995</v>
      </c>
      <c r="I17" s="3">
        <v>3.0800000000000005</v>
      </c>
      <c r="J17" s="3">
        <v>1.8199999999999998</v>
      </c>
      <c r="K17" s="3">
        <v>0.83000000000000007</v>
      </c>
      <c r="L17" s="3">
        <v>5.17</v>
      </c>
      <c r="M17" s="3">
        <v>2.62</v>
      </c>
      <c r="N17" s="3">
        <v>0</v>
      </c>
      <c r="O17" s="3">
        <v>9.1000000000000014</v>
      </c>
      <c r="P17" s="3">
        <v>0.48</v>
      </c>
      <c r="Q17" s="3">
        <v>4.04</v>
      </c>
      <c r="R17" s="3">
        <v>1.54</v>
      </c>
      <c r="S17" s="3">
        <v>16.8</v>
      </c>
      <c r="T17" s="3">
        <v>71.069999999999993</v>
      </c>
      <c r="U17" s="3">
        <v>1.66</v>
      </c>
      <c r="V17" s="3">
        <v>0</v>
      </c>
      <c r="W17" s="3">
        <v>3.45</v>
      </c>
      <c r="X17" s="3">
        <v>0</v>
      </c>
      <c r="Y17" s="3">
        <v>0</v>
      </c>
      <c r="Z17" s="16">
        <f t="shared" si="1"/>
        <v>39.206767217301106</v>
      </c>
      <c r="AA17" s="3">
        <f t="shared" si="2"/>
        <v>32.330000000000005</v>
      </c>
    </row>
    <row r="18" spans="1:33" x14ac:dyDescent="0.3">
      <c r="B18" s="48">
        <v>44197</v>
      </c>
      <c r="C18">
        <v>1</v>
      </c>
      <c r="D18">
        <v>458</v>
      </c>
      <c r="E18">
        <v>28</v>
      </c>
      <c r="F18">
        <v>21</v>
      </c>
      <c r="G18" s="3">
        <f t="shared" si="0"/>
        <v>6133.6450000000004</v>
      </c>
      <c r="H18" s="3">
        <v>679.95993894165542</v>
      </c>
      <c r="I18" s="3">
        <v>2.64</v>
      </c>
      <c r="J18" s="3">
        <v>1.7999999999999998</v>
      </c>
      <c r="K18" s="3">
        <v>252.77479647218451</v>
      </c>
      <c r="L18" s="3">
        <v>813.6130597014926</v>
      </c>
      <c r="M18" s="3">
        <v>2.02</v>
      </c>
      <c r="N18" s="3">
        <v>0</v>
      </c>
      <c r="O18" s="3">
        <v>562.53826322930809</v>
      </c>
      <c r="P18" s="3">
        <v>163.2889009497965</v>
      </c>
      <c r="Q18" s="3">
        <v>3.36</v>
      </c>
      <c r="R18" s="3">
        <v>1.26</v>
      </c>
      <c r="S18" s="3">
        <v>98.757340569877897</v>
      </c>
      <c r="T18" s="3">
        <v>3535.3698100407055</v>
      </c>
      <c r="U18" s="3">
        <v>0</v>
      </c>
      <c r="V18" s="3">
        <v>0</v>
      </c>
      <c r="W18" s="3">
        <v>16.26289009497965</v>
      </c>
      <c r="X18" s="3">
        <v>0</v>
      </c>
      <c r="Y18" s="3">
        <v>0</v>
      </c>
      <c r="Z18" s="16">
        <f t="shared" si="1"/>
        <v>42.095887516547101</v>
      </c>
      <c r="AA18" s="3">
        <f t="shared" si="2"/>
        <v>2483.2549592944374</v>
      </c>
    </row>
    <row r="19" spans="1:33" x14ac:dyDescent="0.3">
      <c r="B19" s="48">
        <v>44197</v>
      </c>
      <c r="C19">
        <v>2</v>
      </c>
      <c r="D19">
        <v>9999</v>
      </c>
      <c r="E19">
        <v>9999</v>
      </c>
      <c r="F19">
        <v>9999</v>
      </c>
      <c r="G19" s="3">
        <f t="shared" si="0"/>
        <v>190.8</v>
      </c>
      <c r="H19" s="3">
        <v>4.55</v>
      </c>
      <c r="I19" s="3">
        <v>0.19999999999999998</v>
      </c>
      <c r="J19" s="3">
        <v>0.30000000000000004</v>
      </c>
      <c r="K19" s="3">
        <v>2.25</v>
      </c>
      <c r="L19" s="3">
        <v>5.8000000000000007</v>
      </c>
      <c r="M19" s="3">
        <v>0.88000000000000012</v>
      </c>
      <c r="N19" s="3">
        <v>0</v>
      </c>
      <c r="O19" s="3">
        <v>4.45</v>
      </c>
      <c r="P19" s="3">
        <v>1.4</v>
      </c>
      <c r="Q19" s="3">
        <v>5.95</v>
      </c>
      <c r="R19" s="3">
        <v>0.85</v>
      </c>
      <c r="S19" s="3">
        <v>0</v>
      </c>
      <c r="T19" s="3">
        <v>164.17000000000002</v>
      </c>
      <c r="U19" s="3">
        <v>0</v>
      </c>
      <c r="V19" s="3">
        <v>0</v>
      </c>
      <c r="W19" s="3">
        <v>0</v>
      </c>
      <c r="X19" s="3">
        <v>0</v>
      </c>
      <c r="Y19" s="3">
        <v>0</v>
      </c>
      <c r="Z19" s="16">
        <f>(SUM(H19:S19)/G19)*100</f>
        <v>13.957023060796647</v>
      </c>
      <c r="AA19" s="3">
        <f t="shared" si="2"/>
        <v>26.630000000000003</v>
      </c>
    </row>
    <row r="20" spans="1:33" s="43" customFormat="1" x14ac:dyDescent="0.3">
      <c r="B20" s="14"/>
      <c r="C20" s="14"/>
      <c r="D20" s="14"/>
      <c r="E20" s="14"/>
      <c r="F20" s="14"/>
      <c r="G20" s="14"/>
      <c r="H20" s="16"/>
      <c r="I20" s="16">
        <f>MEDIAN(I3:I17)</f>
        <v>3.7250000000000001</v>
      </c>
      <c r="J20" s="16">
        <f t="shared" ref="J20:R20" si="3">MEDIAN(J3:J17)</f>
        <v>2.6950000000000003</v>
      </c>
      <c r="K20" s="16">
        <f t="shared" si="3"/>
        <v>1.85</v>
      </c>
      <c r="L20" s="16">
        <f t="shared" si="3"/>
        <v>3.2</v>
      </c>
      <c r="M20" s="16">
        <f t="shared" si="3"/>
        <v>1.325</v>
      </c>
      <c r="N20" s="16">
        <f t="shared" si="3"/>
        <v>0.3</v>
      </c>
      <c r="O20" s="16">
        <f t="shared" si="3"/>
        <v>5.8</v>
      </c>
      <c r="P20" s="16">
        <f t="shared" si="3"/>
        <v>1.34</v>
      </c>
      <c r="Q20" s="16">
        <f t="shared" si="3"/>
        <v>9.6300000000000008</v>
      </c>
      <c r="R20" s="16">
        <f t="shared" si="3"/>
        <v>2.95</v>
      </c>
      <c r="S20" s="56" t="s">
        <v>103</v>
      </c>
      <c r="T20" s="42">
        <f>MEDIAN(T3:T19)</f>
        <v>76.199999999999989</v>
      </c>
      <c r="U20" s="16"/>
      <c r="V20" s="16"/>
      <c r="W20" s="16"/>
      <c r="X20" s="16"/>
      <c r="Y20" s="56" t="s">
        <v>92</v>
      </c>
      <c r="Z20" s="42">
        <f>AVERAGE(Z3:Z19)</f>
        <v>40.885850846294588</v>
      </c>
      <c r="AE20" s="58"/>
    </row>
    <row r="21" spans="1:33" s="43" customFormat="1" x14ac:dyDescent="0.3">
      <c r="B21" s="14"/>
      <c r="C21" s="14"/>
      <c r="D21" s="14"/>
      <c r="E21" s="14"/>
      <c r="F21" s="14"/>
      <c r="G21" s="14"/>
      <c r="H21" s="14"/>
      <c r="I21" s="14"/>
      <c r="J21" s="14"/>
      <c r="K21" s="14"/>
      <c r="L21" s="14"/>
      <c r="M21" s="14"/>
      <c r="N21" s="14"/>
      <c r="O21" s="14"/>
      <c r="P21" s="14"/>
      <c r="Q21" s="14"/>
      <c r="R21" s="14"/>
      <c r="S21" s="56" t="s">
        <v>104</v>
      </c>
      <c r="T21" s="42">
        <f>QUARTILE(T3:T17,1)</f>
        <v>49.05</v>
      </c>
      <c r="U21" s="16"/>
      <c r="V21" s="16"/>
      <c r="W21" s="16"/>
      <c r="X21" s="16"/>
      <c r="Y21" s="56" t="s">
        <v>93</v>
      </c>
      <c r="Z21" s="42">
        <f>STDEV(Z3:Z19)</f>
        <v>11.8504267381782</v>
      </c>
      <c r="AE21" s="58"/>
    </row>
    <row r="22" spans="1:33" s="43" customFormat="1" x14ac:dyDescent="0.3">
      <c r="B22" s="14"/>
      <c r="C22" s="14"/>
      <c r="D22" s="14"/>
      <c r="E22" s="14"/>
      <c r="F22" s="14"/>
      <c r="G22" s="16"/>
      <c r="H22" s="16"/>
      <c r="I22" s="16"/>
      <c r="J22" s="16"/>
      <c r="K22" s="16"/>
      <c r="L22" s="16"/>
      <c r="M22" s="16"/>
      <c r="N22" s="16"/>
      <c r="O22" s="16"/>
      <c r="P22" s="16"/>
      <c r="Q22" s="16"/>
      <c r="R22" s="16"/>
      <c r="S22" s="42" t="s">
        <v>105</v>
      </c>
      <c r="T22" s="42">
        <f>QUARTILE(T3:T17,3)</f>
        <v>83.5</v>
      </c>
      <c r="U22" s="14"/>
      <c r="V22" s="14"/>
      <c r="W22" s="14"/>
      <c r="X22" s="14"/>
      <c r="Y22" s="14"/>
      <c r="Z22" s="14"/>
      <c r="AE22" s="58"/>
    </row>
    <row r="23" spans="1:33" x14ac:dyDescent="0.3">
      <c r="B23" s="14"/>
      <c r="C23" s="14"/>
      <c r="D23" s="14"/>
      <c r="E23" s="14"/>
      <c r="F23" s="14"/>
      <c r="G23" s="16"/>
      <c r="H23" s="16"/>
      <c r="I23" s="16"/>
      <c r="J23" s="16"/>
      <c r="K23" s="16"/>
      <c r="L23" s="16"/>
      <c r="M23" s="16"/>
      <c r="N23" s="16"/>
      <c r="O23" s="16"/>
      <c r="P23" s="16"/>
      <c r="Q23" s="16"/>
      <c r="R23" s="16"/>
      <c r="S23" s="16"/>
      <c r="T23" s="16"/>
      <c r="U23" s="14"/>
      <c r="V23" s="14"/>
      <c r="W23" s="14"/>
      <c r="X23" s="14"/>
      <c r="Y23" s="14"/>
      <c r="Z23" s="14"/>
    </row>
    <row r="24" spans="1:33" x14ac:dyDescent="0.3">
      <c r="B24" s="14"/>
      <c r="C24" s="14"/>
      <c r="D24" s="14"/>
      <c r="E24" s="14"/>
      <c r="F24" s="14"/>
      <c r="G24" s="16"/>
      <c r="H24" s="16"/>
      <c r="I24" s="16"/>
      <c r="J24" s="16"/>
      <c r="K24" s="16"/>
      <c r="L24" s="16"/>
      <c r="M24" s="16"/>
      <c r="N24" s="16"/>
      <c r="O24" s="16"/>
      <c r="P24" s="16"/>
      <c r="Q24" s="16"/>
      <c r="R24" s="16"/>
      <c r="S24" s="16"/>
      <c r="T24" s="16"/>
      <c r="U24" s="14"/>
      <c r="V24" s="14"/>
      <c r="W24" s="14"/>
      <c r="X24" s="14"/>
      <c r="Y24" s="14"/>
      <c r="Z24" s="14"/>
    </row>
    <row r="26" spans="1:33" x14ac:dyDescent="0.3">
      <c r="B26" s="44"/>
      <c r="C26" s="49"/>
      <c r="D26" s="49"/>
      <c r="E26" s="49"/>
      <c r="F26" s="49"/>
      <c r="G26" s="49" t="s">
        <v>59</v>
      </c>
      <c r="H26" s="45" t="s">
        <v>0</v>
      </c>
      <c r="I26" s="44" t="s">
        <v>94</v>
      </c>
      <c r="J26" s="44" t="s">
        <v>95</v>
      </c>
      <c r="K26" s="44" t="s">
        <v>82</v>
      </c>
      <c r="L26" s="44" t="s">
        <v>77</v>
      </c>
      <c r="M26" s="44" t="s">
        <v>79</v>
      </c>
      <c r="N26" s="44" t="s">
        <v>80</v>
      </c>
      <c r="O26" s="44" t="s">
        <v>84</v>
      </c>
      <c r="P26" s="49" t="s">
        <v>85</v>
      </c>
      <c r="Q26" s="44" t="s">
        <v>87</v>
      </c>
      <c r="R26" s="44" t="s">
        <v>88</v>
      </c>
      <c r="S26" s="44" t="s">
        <v>12</v>
      </c>
      <c r="T26" s="44" t="s">
        <v>91</v>
      </c>
      <c r="U26" s="55" t="s">
        <v>96</v>
      </c>
      <c r="V26" s="46" t="s">
        <v>100</v>
      </c>
      <c r="W26" s="46" t="s">
        <v>101</v>
      </c>
      <c r="AA26" t="s">
        <v>97</v>
      </c>
      <c r="AB26" t="s">
        <v>98</v>
      </c>
      <c r="AE26" s="6" t="s">
        <v>97</v>
      </c>
      <c r="AF26" t="s">
        <v>16</v>
      </c>
      <c r="AG26" t="s">
        <v>99</v>
      </c>
    </row>
    <row r="27" spans="1:33" x14ac:dyDescent="0.3">
      <c r="B27" s="48">
        <v>44186</v>
      </c>
      <c r="G27" s="3">
        <f>SUM(G3:G4)</f>
        <v>240.3</v>
      </c>
      <c r="H27" s="3">
        <f t="shared" ref="H27:T27" si="4">SUM(H3:H4)</f>
        <v>43.15</v>
      </c>
      <c r="I27" s="3">
        <f t="shared" si="4"/>
        <v>5.8</v>
      </c>
      <c r="J27" s="3">
        <f t="shared" si="4"/>
        <v>5.8000000000000007</v>
      </c>
      <c r="K27" s="3">
        <f t="shared" si="4"/>
        <v>2.95</v>
      </c>
      <c r="L27" s="3">
        <f t="shared" si="4"/>
        <v>2.6</v>
      </c>
      <c r="M27" s="3">
        <f t="shared" si="4"/>
        <v>1.4249999999999998</v>
      </c>
      <c r="N27" s="3">
        <f t="shared" si="4"/>
        <v>1.325</v>
      </c>
      <c r="O27" s="3">
        <f t="shared" si="4"/>
        <v>28.200000000000003</v>
      </c>
      <c r="P27" s="3">
        <f t="shared" si="4"/>
        <v>13.7</v>
      </c>
      <c r="Q27" s="3">
        <f t="shared" si="4"/>
        <v>16.149999999999999</v>
      </c>
      <c r="R27" s="3">
        <f t="shared" si="4"/>
        <v>5.35</v>
      </c>
      <c r="S27" s="3">
        <f t="shared" si="4"/>
        <v>2.15</v>
      </c>
      <c r="T27" s="3">
        <f t="shared" si="4"/>
        <v>111.4</v>
      </c>
      <c r="U27" s="16">
        <f>((SUM(H27:S27))/G27)*100</f>
        <v>53.516437786100703</v>
      </c>
      <c r="V27" s="3">
        <f>SUM(H27:R27)</f>
        <v>126.44999999999999</v>
      </c>
      <c r="W27" s="6">
        <f>VLOOKUP(B27,'[1]Đếm ghe tàu'!A$18:C$25,3,FALSE)</f>
        <v>141</v>
      </c>
      <c r="AA27">
        <v>1</v>
      </c>
      <c r="AB27">
        <v>43.15</v>
      </c>
      <c r="AE27" s="6">
        <v>1</v>
      </c>
      <c r="AF27">
        <v>1</v>
      </c>
      <c r="AG27" s="3">
        <v>25.4</v>
      </c>
    </row>
    <row r="28" spans="1:33" x14ac:dyDescent="0.3">
      <c r="B28" s="48">
        <v>44187</v>
      </c>
      <c r="G28" s="3">
        <f>SUM(G5:G6)</f>
        <v>165.85000000000002</v>
      </c>
      <c r="H28" s="3">
        <f t="shared" ref="H28:T28" si="5">SUM(H5:H6)</f>
        <v>20.399999999999999</v>
      </c>
      <c r="I28" s="3">
        <f t="shared" si="5"/>
        <v>5.7</v>
      </c>
      <c r="J28" s="3">
        <f t="shared" si="5"/>
        <v>5.95</v>
      </c>
      <c r="K28" s="3">
        <f t="shared" si="5"/>
        <v>2.75</v>
      </c>
      <c r="L28" s="3">
        <f t="shared" si="5"/>
        <v>0.75</v>
      </c>
      <c r="M28" s="3">
        <f t="shared" si="5"/>
        <v>2.35</v>
      </c>
      <c r="N28" s="3">
        <f t="shared" si="5"/>
        <v>1.75</v>
      </c>
      <c r="O28" s="3">
        <f t="shared" si="5"/>
        <v>6.6</v>
      </c>
      <c r="P28" s="3">
        <f t="shared" si="5"/>
        <v>2.6500000000000004</v>
      </c>
      <c r="Q28" s="3">
        <f t="shared" si="5"/>
        <v>20.8</v>
      </c>
      <c r="R28" s="3">
        <f t="shared" si="5"/>
        <v>4.7</v>
      </c>
      <c r="S28" s="3">
        <f t="shared" si="5"/>
        <v>2.4500000000000002</v>
      </c>
      <c r="T28" s="3">
        <f t="shared" si="5"/>
        <v>89</v>
      </c>
      <c r="U28" s="16">
        <f t="shared" ref="U28:U34" si="6">((SUM(H28:S28))/G28)*100</f>
        <v>46.337051552607775</v>
      </c>
      <c r="V28" s="3">
        <f t="shared" ref="V28:V34" si="7">SUM(H28:R28)</f>
        <v>74.400000000000006</v>
      </c>
      <c r="W28" s="6">
        <f>VLOOKUP(B28,'[1]Đếm ghe tàu'!A$18:C$25,3,FALSE)</f>
        <v>303</v>
      </c>
      <c r="AA28">
        <v>1</v>
      </c>
      <c r="AB28">
        <v>20.399999999999999</v>
      </c>
      <c r="AE28" s="6">
        <v>1</v>
      </c>
      <c r="AF28">
        <v>2</v>
      </c>
      <c r="AG28" s="3">
        <v>17.75</v>
      </c>
    </row>
    <row r="29" spans="1:33" x14ac:dyDescent="0.3">
      <c r="B29" s="48">
        <v>44188</v>
      </c>
      <c r="G29" s="3">
        <f>SUM(G7:G8)</f>
        <v>212.7</v>
      </c>
      <c r="H29" s="3">
        <f t="shared" ref="H29:T29" si="8">SUM(H7:H8)</f>
        <v>22.95</v>
      </c>
      <c r="I29" s="3">
        <f t="shared" si="8"/>
        <v>7.8000000000000007</v>
      </c>
      <c r="J29" s="3">
        <f t="shared" si="8"/>
        <v>3.2</v>
      </c>
      <c r="K29" s="3">
        <f t="shared" si="8"/>
        <v>10.199999999999999</v>
      </c>
      <c r="L29" s="3">
        <f t="shared" si="8"/>
        <v>5.0999999999999996</v>
      </c>
      <c r="M29" s="3">
        <f t="shared" si="8"/>
        <v>2.0750000000000002</v>
      </c>
      <c r="N29" s="3">
        <f t="shared" si="8"/>
        <v>1.175</v>
      </c>
      <c r="O29" s="3">
        <f t="shared" si="8"/>
        <v>11</v>
      </c>
      <c r="P29" s="3">
        <f t="shared" si="8"/>
        <v>1.85</v>
      </c>
      <c r="Q29" s="3">
        <f t="shared" si="8"/>
        <v>17.75</v>
      </c>
      <c r="R29" s="3">
        <f t="shared" si="8"/>
        <v>4.1500000000000004</v>
      </c>
      <c r="S29" s="3">
        <f t="shared" si="8"/>
        <v>2.4500000000000002</v>
      </c>
      <c r="T29" s="3">
        <f t="shared" si="8"/>
        <v>122.39999999999998</v>
      </c>
      <c r="U29" s="16">
        <f t="shared" si="6"/>
        <v>42.172073342736262</v>
      </c>
      <c r="V29" s="3">
        <f t="shared" si="7"/>
        <v>87.250000000000014</v>
      </c>
      <c r="W29" s="6">
        <f>VLOOKUP(B29,'[1]Đếm ghe tàu'!A$18:C$25,3,FALSE)</f>
        <v>332</v>
      </c>
      <c r="AA29">
        <v>1</v>
      </c>
      <c r="AB29">
        <v>22.95</v>
      </c>
      <c r="AE29" s="6">
        <v>1</v>
      </c>
      <c r="AF29">
        <v>1</v>
      </c>
      <c r="AG29" s="3">
        <v>8</v>
      </c>
    </row>
    <row r="30" spans="1:33" x14ac:dyDescent="0.3">
      <c r="B30" s="48">
        <v>44189</v>
      </c>
      <c r="G30" s="3">
        <f>SUM(G9:G10)</f>
        <v>222.51</v>
      </c>
      <c r="H30" s="3">
        <f t="shared" ref="H30:T30" si="9">SUM(H9:H10)</f>
        <v>32.020000000000003</v>
      </c>
      <c r="I30" s="3">
        <f t="shared" si="9"/>
        <v>5.64</v>
      </c>
      <c r="J30" s="3">
        <f t="shared" si="9"/>
        <v>2.0399999999999996</v>
      </c>
      <c r="K30" s="3">
        <f t="shared" si="9"/>
        <v>4.24</v>
      </c>
      <c r="L30" s="3">
        <f t="shared" si="9"/>
        <v>15.600000000000001</v>
      </c>
      <c r="M30" s="3">
        <f t="shared" si="9"/>
        <v>1.8</v>
      </c>
      <c r="N30" s="3">
        <f t="shared" si="9"/>
        <v>0.1</v>
      </c>
      <c r="O30" s="3">
        <f t="shared" si="9"/>
        <v>26.599999999999998</v>
      </c>
      <c r="P30" s="3">
        <f t="shared" si="9"/>
        <v>4.33</v>
      </c>
      <c r="Q30" s="3">
        <f t="shared" si="9"/>
        <v>22.71</v>
      </c>
      <c r="R30" s="3">
        <f t="shared" si="9"/>
        <v>7.0200000000000005</v>
      </c>
      <c r="S30" s="3">
        <f t="shared" si="9"/>
        <v>1.3</v>
      </c>
      <c r="T30" s="3">
        <f t="shared" si="9"/>
        <v>98.049999999999983</v>
      </c>
      <c r="U30" s="16">
        <f t="shared" si="6"/>
        <v>55.458181654757098</v>
      </c>
      <c r="V30" s="3">
        <f t="shared" si="7"/>
        <v>122.10000000000001</v>
      </c>
      <c r="W30" s="6">
        <f>VLOOKUP(B30,'[1]Đếm ghe tàu'!A$18:C$25,3,FALSE)</f>
        <v>374.3130922977183</v>
      </c>
      <c r="AA30">
        <v>1</v>
      </c>
      <c r="AB30">
        <v>32.020000000000003</v>
      </c>
      <c r="AE30" s="6">
        <v>1</v>
      </c>
      <c r="AF30">
        <v>2</v>
      </c>
      <c r="AG30" s="3">
        <v>12.4</v>
      </c>
    </row>
    <row r="31" spans="1:33" x14ac:dyDescent="0.3">
      <c r="B31" s="48">
        <v>44191</v>
      </c>
      <c r="G31" s="3">
        <f>SUM(G11:G12)</f>
        <v>487.21000000000004</v>
      </c>
      <c r="H31" s="3">
        <f t="shared" ref="H31:T31" si="10">SUM(H11:H12)</f>
        <v>38.11</v>
      </c>
      <c r="I31" s="3">
        <f t="shared" si="10"/>
        <v>17.03</v>
      </c>
      <c r="J31" s="3">
        <f t="shared" si="10"/>
        <v>6.4</v>
      </c>
      <c r="K31" s="3">
        <f t="shared" si="10"/>
        <v>4.37</v>
      </c>
      <c r="L31" s="3">
        <f t="shared" si="10"/>
        <v>19.009999999999998</v>
      </c>
      <c r="M31" s="3">
        <f t="shared" si="10"/>
        <v>0.7</v>
      </c>
      <c r="N31" s="3">
        <f t="shared" si="10"/>
        <v>2</v>
      </c>
      <c r="O31" s="3">
        <f t="shared" si="10"/>
        <v>7.04</v>
      </c>
      <c r="P31" s="3">
        <f t="shared" si="10"/>
        <v>5.22</v>
      </c>
      <c r="Q31" s="3">
        <f t="shared" si="10"/>
        <v>32.64</v>
      </c>
      <c r="R31" s="3">
        <f t="shared" si="10"/>
        <v>14.309999999999999</v>
      </c>
      <c r="S31" s="3">
        <f t="shared" si="10"/>
        <v>6.29</v>
      </c>
      <c r="T31" s="3">
        <f t="shared" si="10"/>
        <v>268.55</v>
      </c>
      <c r="U31" s="16">
        <f t="shared" si="6"/>
        <v>31.427926356191367</v>
      </c>
      <c r="V31" s="3">
        <f t="shared" si="7"/>
        <v>146.82999999999998</v>
      </c>
      <c r="W31" s="6">
        <f>VLOOKUP(B31,'[1]Đếm ghe tàu'!A$18:C$25,3,FALSE)</f>
        <v>378</v>
      </c>
      <c r="AA31">
        <v>1</v>
      </c>
      <c r="AB31">
        <v>38.11</v>
      </c>
      <c r="AE31" s="6">
        <v>1</v>
      </c>
      <c r="AF31">
        <v>1</v>
      </c>
      <c r="AG31" s="3">
        <v>11.25</v>
      </c>
    </row>
    <row r="32" spans="1:33" x14ac:dyDescent="0.3">
      <c r="B32" s="48">
        <v>44192</v>
      </c>
      <c r="G32" s="3">
        <f>G13</f>
        <v>314.435</v>
      </c>
      <c r="H32" s="3">
        <f t="shared" ref="H32:T32" si="11">H13</f>
        <v>19.049999999999997</v>
      </c>
      <c r="I32" s="3">
        <f t="shared" si="11"/>
        <v>4.8666666666666671</v>
      </c>
      <c r="J32" s="3">
        <f t="shared" si="11"/>
        <v>2.8133333333333335</v>
      </c>
      <c r="K32" s="3">
        <f t="shared" si="11"/>
        <v>3.1300000000000003</v>
      </c>
      <c r="L32" s="3">
        <f t="shared" si="11"/>
        <v>11.08</v>
      </c>
      <c r="M32" s="3">
        <f t="shared" si="11"/>
        <v>3.125</v>
      </c>
      <c r="N32" s="3">
        <f t="shared" si="11"/>
        <v>0</v>
      </c>
      <c r="O32" s="3">
        <f t="shared" si="11"/>
        <v>13.4</v>
      </c>
      <c r="P32" s="3">
        <f t="shared" si="11"/>
        <v>5.2</v>
      </c>
      <c r="Q32" s="3">
        <f t="shared" si="11"/>
        <v>14.700000000000001</v>
      </c>
      <c r="R32" s="3">
        <f t="shared" si="11"/>
        <v>4.84</v>
      </c>
      <c r="S32" s="3">
        <f t="shared" si="11"/>
        <v>3.15</v>
      </c>
      <c r="T32" s="3">
        <f t="shared" si="11"/>
        <v>190.2</v>
      </c>
      <c r="U32" s="16">
        <f t="shared" si="6"/>
        <v>27.145514971297725</v>
      </c>
      <c r="V32" s="3">
        <f>SUM(H32:R32)</f>
        <v>82.204999999999998</v>
      </c>
      <c r="W32" s="6">
        <v>378.16261845954369</v>
      </c>
      <c r="X32" s="6" t="s">
        <v>102</v>
      </c>
      <c r="AA32">
        <v>1</v>
      </c>
      <c r="AB32">
        <v>19.049999999999997</v>
      </c>
      <c r="AE32" s="6">
        <v>1</v>
      </c>
      <c r="AF32">
        <v>2</v>
      </c>
      <c r="AG32" s="3">
        <v>11.7</v>
      </c>
    </row>
    <row r="33" spans="2:33" x14ac:dyDescent="0.3">
      <c r="B33" s="48">
        <v>44193</v>
      </c>
      <c r="G33" s="3">
        <f>SUM(G14:G15)</f>
        <v>259.45500000000004</v>
      </c>
      <c r="H33" s="3">
        <f t="shared" ref="H33:T33" si="12">SUM(H14:H15)</f>
        <v>17.86</v>
      </c>
      <c r="I33" s="3">
        <f t="shared" si="12"/>
        <v>8.6125000000000007</v>
      </c>
      <c r="J33" s="3">
        <f t="shared" si="12"/>
        <v>3.5524999999999998</v>
      </c>
      <c r="K33" s="3">
        <f t="shared" si="12"/>
        <v>1.96</v>
      </c>
      <c r="L33" s="3">
        <f t="shared" si="12"/>
        <v>8.93</v>
      </c>
      <c r="M33" s="3">
        <f t="shared" si="12"/>
        <v>3.9499999999999997</v>
      </c>
      <c r="N33" s="3">
        <f t="shared" si="12"/>
        <v>1.3199999999999998</v>
      </c>
      <c r="O33" s="3">
        <f t="shared" si="12"/>
        <v>20.92</v>
      </c>
      <c r="P33" s="3">
        <f t="shared" si="12"/>
        <v>2.33</v>
      </c>
      <c r="Q33" s="3">
        <f t="shared" si="12"/>
        <v>17.100000000000001</v>
      </c>
      <c r="R33" s="3">
        <f t="shared" si="12"/>
        <v>7.9399999999999995</v>
      </c>
      <c r="S33" s="3">
        <f t="shared" si="12"/>
        <v>4.5</v>
      </c>
      <c r="T33" s="3">
        <f t="shared" si="12"/>
        <v>156.95000000000002</v>
      </c>
      <c r="U33" s="16">
        <f t="shared" si="6"/>
        <v>38.147270239540568</v>
      </c>
      <c r="V33" s="3">
        <f t="shared" si="7"/>
        <v>94.474999999999994</v>
      </c>
      <c r="W33" s="6">
        <f>VLOOKUP(B33,'[1]Đếm ghe tàu'!A$18:C$25,3,FALSE)</f>
        <v>344.5</v>
      </c>
      <c r="AA33">
        <v>1</v>
      </c>
      <c r="AB33">
        <v>17.86</v>
      </c>
      <c r="AE33" s="6">
        <v>1</v>
      </c>
      <c r="AF33">
        <v>1</v>
      </c>
      <c r="AG33" s="3">
        <v>1.5999999999999999</v>
      </c>
    </row>
    <row r="34" spans="2:33" x14ac:dyDescent="0.3">
      <c r="B34" s="48">
        <v>44194</v>
      </c>
      <c r="G34" s="3">
        <f>SUM(G16:G17)</f>
        <v>290.30999999999995</v>
      </c>
      <c r="H34" s="3">
        <f t="shared" ref="H34:T34" si="13">SUM(H16:H17)</f>
        <v>12.349999999999998</v>
      </c>
      <c r="I34" s="3">
        <f t="shared" si="13"/>
        <v>6.8050000000000006</v>
      </c>
      <c r="J34" s="3">
        <f t="shared" si="13"/>
        <v>5.3450000000000006</v>
      </c>
      <c r="K34" s="3">
        <f t="shared" si="13"/>
        <v>6.4599999999999991</v>
      </c>
      <c r="L34" s="3">
        <f t="shared" si="13"/>
        <v>12.489999999999998</v>
      </c>
      <c r="M34" s="3">
        <f t="shared" si="13"/>
        <v>4.4300000000000006</v>
      </c>
      <c r="N34" s="3">
        <f t="shared" si="13"/>
        <v>1</v>
      </c>
      <c r="O34" s="3">
        <f t="shared" si="13"/>
        <v>14.64</v>
      </c>
      <c r="P34" s="3">
        <f t="shared" si="13"/>
        <v>1.8900000000000001</v>
      </c>
      <c r="Q34" s="3">
        <f t="shared" si="13"/>
        <v>25.839999999999996</v>
      </c>
      <c r="R34" s="3">
        <f t="shared" si="13"/>
        <v>15.030000000000001</v>
      </c>
      <c r="S34" s="3">
        <f t="shared" si="13"/>
        <v>16.8</v>
      </c>
      <c r="T34" s="3">
        <f t="shared" si="13"/>
        <v>158.91999999999996</v>
      </c>
      <c r="U34" s="16">
        <f t="shared" si="6"/>
        <v>42.396059384795571</v>
      </c>
      <c r="V34" s="3">
        <f t="shared" si="7"/>
        <v>106.28</v>
      </c>
      <c r="W34" s="6">
        <f>VLOOKUP(B34,'[1]Đếm ghe tàu'!A$18:C$25,3,FALSE)</f>
        <v>462</v>
      </c>
      <c r="AA34">
        <v>1</v>
      </c>
      <c r="AB34">
        <v>12.349999999999998</v>
      </c>
      <c r="AE34" s="6">
        <v>1</v>
      </c>
      <c r="AF34">
        <v>2</v>
      </c>
      <c r="AG34" s="3">
        <v>30.42</v>
      </c>
    </row>
    <row r="35" spans="2:33" x14ac:dyDescent="0.3">
      <c r="B35" s="14"/>
      <c r="C35" s="14"/>
      <c r="D35" s="14"/>
      <c r="E35" s="14"/>
      <c r="F35" s="14"/>
      <c r="G35" s="14"/>
      <c r="H35" s="14"/>
      <c r="I35" s="14"/>
      <c r="J35" s="14"/>
      <c r="K35" s="14"/>
      <c r="L35" s="14"/>
      <c r="M35" s="14"/>
      <c r="N35" s="14"/>
      <c r="O35" s="14"/>
      <c r="P35" s="14"/>
      <c r="Q35" s="14"/>
      <c r="R35" s="14"/>
      <c r="S35" s="56" t="s">
        <v>92</v>
      </c>
      <c r="T35" s="42">
        <f>AVERAGE(T27:T34)</f>
        <v>149.43374999999997</v>
      </c>
      <c r="U35" s="42">
        <f>AVERAGE(U27:U34)</f>
        <v>42.075064411003382</v>
      </c>
      <c r="AA35" s="14">
        <v>2</v>
      </c>
      <c r="AB35" s="14">
        <v>5.8</v>
      </c>
      <c r="AE35" s="6">
        <v>1</v>
      </c>
      <c r="AF35">
        <v>1</v>
      </c>
      <c r="AG35" s="3">
        <v>11.5</v>
      </c>
    </row>
    <row r="36" spans="2:33" x14ac:dyDescent="0.3">
      <c r="B36" s="14"/>
      <c r="C36" s="14"/>
      <c r="D36" s="14"/>
      <c r="E36" s="14"/>
      <c r="F36" s="14"/>
      <c r="G36" s="14"/>
      <c r="H36" s="14"/>
      <c r="I36" s="14"/>
      <c r="J36" s="14"/>
      <c r="K36" s="14"/>
      <c r="L36" s="14"/>
      <c r="M36" s="14"/>
      <c r="N36" s="14"/>
      <c r="O36" s="14"/>
      <c r="P36" s="14"/>
      <c r="Q36" s="14"/>
      <c r="R36" s="14"/>
      <c r="S36" s="56" t="s">
        <v>93</v>
      </c>
      <c r="T36" s="42">
        <f>STDEV(T27:T34)</f>
        <v>59.120903708901018</v>
      </c>
      <c r="U36" s="42">
        <f>STDEV(U27:U34)</f>
        <v>9.8558930671227003</v>
      </c>
      <c r="AA36" s="14">
        <v>2</v>
      </c>
      <c r="AB36" s="14">
        <v>5.7</v>
      </c>
      <c r="AE36" s="6">
        <v>1</v>
      </c>
      <c r="AF36">
        <v>2</v>
      </c>
      <c r="AG36" s="3">
        <v>26.61</v>
      </c>
    </row>
    <row r="37" spans="2:33" x14ac:dyDescent="0.3">
      <c r="AA37" s="14">
        <v>2</v>
      </c>
      <c r="AB37" s="14">
        <v>7.8000000000000007</v>
      </c>
      <c r="AE37" s="6">
        <v>1</v>
      </c>
      <c r="AF37">
        <v>2</v>
      </c>
      <c r="AG37" s="3">
        <v>19.049999999999997</v>
      </c>
    </row>
    <row r="38" spans="2:33" x14ac:dyDescent="0.3">
      <c r="AA38" s="14">
        <v>2</v>
      </c>
      <c r="AB38" s="14">
        <v>5.64</v>
      </c>
      <c r="AE38" s="6">
        <v>1</v>
      </c>
      <c r="AF38">
        <v>1</v>
      </c>
      <c r="AG38" s="3">
        <v>11.16</v>
      </c>
    </row>
    <row r="39" spans="2:33" x14ac:dyDescent="0.3">
      <c r="AA39" s="14">
        <v>2</v>
      </c>
      <c r="AB39" s="14">
        <v>17.02</v>
      </c>
      <c r="AE39" s="6">
        <v>1</v>
      </c>
      <c r="AF39">
        <v>2</v>
      </c>
      <c r="AG39" s="3">
        <v>6.7</v>
      </c>
    </row>
    <row r="40" spans="2:33" x14ac:dyDescent="0.3">
      <c r="AA40" s="14">
        <v>2</v>
      </c>
      <c r="AB40" s="14">
        <v>8.6125000000000007</v>
      </c>
      <c r="AE40" s="6">
        <v>1</v>
      </c>
      <c r="AF40">
        <v>1</v>
      </c>
      <c r="AG40" s="3">
        <v>8.6999999999999993</v>
      </c>
    </row>
    <row r="41" spans="2:33" x14ac:dyDescent="0.3">
      <c r="AA41" s="14">
        <v>2</v>
      </c>
      <c r="AB41" s="14">
        <v>6.8050000000000006</v>
      </c>
      <c r="AE41" s="6">
        <v>1</v>
      </c>
      <c r="AF41">
        <v>2</v>
      </c>
      <c r="AG41" s="3">
        <v>3.6499999999999995</v>
      </c>
    </row>
    <row r="42" spans="2:33" x14ac:dyDescent="0.3">
      <c r="AA42">
        <v>3</v>
      </c>
      <c r="AB42">
        <v>5.8000000000000007</v>
      </c>
      <c r="AE42" s="6">
        <v>2</v>
      </c>
      <c r="AF42">
        <v>1</v>
      </c>
      <c r="AG42">
        <v>2.1999999999999997</v>
      </c>
    </row>
    <row r="43" spans="2:33" x14ac:dyDescent="0.3">
      <c r="AA43">
        <v>3</v>
      </c>
      <c r="AB43">
        <v>5.95</v>
      </c>
      <c r="AE43" s="6">
        <v>2</v>
      </c>
      <c r="AF43">
        <v>2</v>
      </c>
      <c r="AG43">
        <v>3.6</v>
      </c>
    </row>
    <row r="44" spans="2:33" x14ac:dyDescent="0.3">
      <c r="AA44">
        <v>3</v>
      </c>
      <c r="AB44">
        <v>3.2</v>
      </c>
      <c r="AE44" s="6">
        <v>2</v>
      </c>
      <c r="AF44">
        <v>1</v>
      </c>
      <c r="AG44">
        <v>2.4500000000000002</v>
      </c>
    </row>
    <row r="45" spans="2:33" x14ac:dyDescent="0.3">
      <c r="AA45">
        <v>3</v>
      </c>
      <c r="AB45">
        <v>2.0399999999999996</v>
      </c>
      <c r="AE45" s="6">
        <v>2</v>
      </c>
      <c r="AF45">
        <v>2</v>
      </c>
      <c r="AG45">
        <v>3.25</v>
      </c>
    </row>
    <row r="46" spans="2:33" x14ac:dyDescent="0.3">
      <c r="AA46">
        <v>3</v>
      </c>
      <c r="AB46">
        <v>6.4</v>
      </c>
      <c r="AE46" s="6">
        <v>2</v>
      </c>
      <c r="AF46">
        <v>1</v>
      </c>
      <c r="AG46">
        <v>3.85</v>
      </c>
    </row>
    <row r="47" spans="2:33" x14ac:dyDescent="0.3">
      <c r="AA47">
        <v>3</v>
      </c>
      <c r="AB47">
        <v>3.5524999999999998</v>
      </c>
      <c r="AE47" s="6">
        <v>2</v>
      </c>
      <c r="AF47">
        <v>2</v>
      </c>
      <c r="AG47">
        <v>3.95</v>
      </c>
    </row>
    <row r="48" spans="2:33" x14ac:dyDescent="0.3">
      <c r="AA48">
        <v>3</v>
      </c>
      <c r="AB48">
        <v>5.3450000000000006</v>
      </c>
      <c r="AE48" s="6">
        <v>2</v>
      </c>
      <c r="AF48">
        <v>1</v>
      </c>
      <c r="AG48">
        <v>0.05</v>
      </c>
    </row>
    <row r="49" spans="27:33" x14ac:dyDescent="0.3">
      <c r="AA49" s="14">
        <v>4</v>
      </c>
      <c r="AB49" s="14">
        <v>2.95</v>
      </c>
      <c r="AE49" s="6">
        <v>2</v>
      </c>
      <c r="AF49">
        <v>2</v>
      </c>
      <c r="AG49">
        <v>5.59</v>
      </c>
    </row>
    <row r="50" spans="27:33" x14ac:dyDescent="0.3">
      <c r="AA50" s="14">
        <v>4</v>
      </c>
      <c r="AB50" s="14">
        <v>2.75</v>
      </c>
      <c r="AE50" s="6">
        <v>2</v>
      </c>
      <c r="AF50">
        <v>1</v>
      </c>
      <c r="AG50">
        <v>6.9749999999999996</v>
      </c>
    </row>
    <row r="51" spans="27:33" x14ac:dyDescent="0.3">
      <c r="AA51" s="14">
        <v>4</v>
      </c>
      <c r="AB51" s="14">
        <v>10.199999999999999</v>
      </c>
      <c r="AE51" s="6">
        <v>2</v>
      </c>
      <c r="AF51">
        <v>2</v>
      </c>
      <c r="AG51">
        <v>10.045</v>
      </c>
    </row>
    <row r="52" spans="27:33" x14ac:dyDescent="0.3">
      <c r="AA52" s="14">
        <v>4</v>
      </c>
      <c r="AB52" s="14">
        <v>4.24</v>
      </c>
      <c r="AE52" s="6">
        <v>2</v>
      </c>
      <c r="AF52">
        <v>2</v>
      </c>
      <c r="AG52">
        <v>4.8666666666666671</v>
      </c>
    </row>
    <row r="53" spans="27:33" x14ac:dyDescent="0.3">
      <c r="AA53" s="14">
        <v>4</v>
      </c>
      <c r="AB53" s="14">
        <v>4.37</v>
      </c>
      <c r="AE53" s="6">
        <v>2</v>
      </c>
      <c r="AF53">
        <v>1</v>
      </c>
      <c r="AG53">
        <v>1.9125000000000001</v>
      </c>
    </row>
    <row r="54" spans="27:33" x14ac:dyDescent="0.3">
      <c r="AA54" s="14">
        <v>4</v>
      </c>
      <c r="AB54" s="14">
        <v>1.96</v>
      </c>
      <c r="AE54" s="6">
        <v>2</v>
      </c>
      <c r="AF54">
        <v>2</v>
      </c>
      <c r="AG54">
        <v>6.7</v>
      </c>
    </row>
    <row r="55" spans="27:33" x14ac:dyDescent="0.3">
      <c r="AA55" s="14">
        <v>4</v>
      </c>
      <c r="AB55" s="14">
        <v>6.4599999999999991</v>
      </c>
      <c r="AE55" s="6">
        <v>2</v>
      </c>
      <c r="AF55">
        <v>1</v>
      </c>
      <c r="AG55">
        <v>3.7250000000000001</v>
      </c>
    </row>
    <row r="56" spans="27:33" x14ac:dyDescent="0.3">
      <c r="AA56">
        <v>5</v>
      </c>
      <c r="AB56">
        <v>2.6</v>
      </c>
      <c r="AE56" s="6">
        <v>2</v>
      </c>
      <c r="AF56">
        <v>2</v>
      </c>
      <c r="AG56">
        <v>3.0800000000000005</v>
      </c>
    </row>
    <row r="57" spans="27:33" x14ac:dyDescent="0.3">
      <c r="AA57">
        <v>5</v>
      </c>
      <c r="AB57">
        <v>0.75</v>
      </c>
      <c r="AE57" s="6">
        <v>3</v>
      </c>
      <c r="AF57">
        <v>1</v>
      </c>
      <c r="AG57">
        <v>1.9</v>
      </c>
    </row>
    <row r="58" spans="27:33" x14ac:dyDescent="0.3">
      <c r="AA58">
        <v>5</v>
      </c>
      <c r="AB58">
        <v>5.0999999999999996</v>
      </c>
      <c r="AE58" s="6">
        <v>3</v>
      </c>
      <c r="AF58">
        <v>2</v>
      </c>
      <c r="AG58">
        <v>3.9000000000000004</v>
      </c>
    </row>
    <row r="59" spans="27:33" x14ac:dyDescent="0.3">
      <c r="AA59">
        <v>5</v>
      </c>
      <c r="AB59">
        <v>15.600000000000001</v>
      </c>
      <c r="AE59" s="6">
        <v>3</v>
      </c>
      <c r="AF59">
        <v>1</v>
      </c>
      <c r="AG59">
        <v>2.7</v>
      </c>
    </row>
    <row r="60" spans="27:33" x14ac:dyDescent="0.3">
      <c r="AA60">
        <v>5</v>
      </c>
      <c r="AB60">
        <v>19.010000000000002</v>
      </c>
      <c r="AE60" s="6">
        <v>3</v>
      </c>
      <c r="AF60">
        <v>2</v>
      </c>
      <c r="AG60">
        <v>3.25</v>
      </c>
    </row>
    <row r="61" spans="27:33" x14ac:dyDescent="0.3">
      <c r="AA61">
        <v>5</v>
      </c>
      <c r="AB61">
        <v>8.93</v>
      </c>
      <c r="AE61" s="6">
        <v>3</v>
      </c>
      <c r="AF61">
        <v>1</v>
      </c>
      <c r="AG61">
        <v>1.4</v>
      </c>
    </row>
    <row r="62" spans="27:33" x14ac:dyDescent="0.3">
      <c r="AA62">
        <v>5</v>
      </c>
      <c r="AB62">
        <v>12.489999999999998</v>
      </c>
      <c r="AE62" s="6">
        <v>3</v>
      </c>
      <c r="AF62">
        <v>2</v>
      </c>
      <c r="AG62">
        <v>1.8</v>
      </c>
    </row>
    <row r="63" spans="27:33" x14ac:dyDescent="0.3">
      <c r="AA63" s="14">
        <v>6</v>
      </c>
      <c r="AB63" s="110">
        <v>1.4249999999999998</v>
      </c>
      <c r="AC63" s="54"/>
      <c r="AD63" s="54"/>
      <c r="AE63" s="6">
        <v>3</v>
      </c>
      <c r="AF63">
        <v>1</v>
      </c>
      <c r="AG63">
        <v>0.05</v>
      </c>
    </row>
    <row r="64" spans="27:33" x14ac:dyDescent="0.3">
      <c r="AA64" s="14">
        <v>6</v>
      </c>
      <c r="AB64" s="110">
        <v>2.35</v>
      </c>
      <c r="AC64" s="54"/>
      <c r="AD64" s="54"/>
      <c r="AE64" s="6">
        <v>3</v>
      </c>
      <c r="AF64">
        <v>2</v>
      </c>
      <c r="AG64">
        <v>1.9899999999999998</v>
      </c>
    </row>
    <row r="65" spans="27:33" x14ac:dyDescent="0.3">
      <c r="AA65" s="14">
        <v>6</v>
      </c>
      <c r="AB65" s="110">
        <v>2.0750000000000002</v>
      </c>
      <c r="AC65" s="54"/>
      <c r="AD65" s="54"/>
      <c r="AE65" s="6">
        <v>3</v>
      </c>
      <c r="AF65">
        <v>1</v>
      </c>
      <c r="AG65">
        <v>2.6950000000000003</v>
      </c>
    </row>
    <row r="66" spans="27:33" x14ac:dyDescent="0.3">
      <c r="AA66" s="14">
        <v>6</v>
      </c>
      <c r="AB66" s="110">
        <v>1.8</v>
      </c>
      <c r="AC66" s="54"/>
      <c r="AD66" s="54"/>
      <c r="AE66" s="6">
        <v>3</v>
      </c>
      <c r="AF66">
        <v>2</v>
      </c>
      <c r="AG66">
        <v>3.7050000000000001</v>
      </c>
    </row>
    <row r="67" spans="27:33" x14ac:dyDescent="0.3">
      <c r="AA67" s="14">
        <v>6</v>
      </c>
      <c r="AB67" s="110">
        <v>0.7</v>
      </c>
      <c r="AC67" s="54"/>
      <c r="AD67" s="54"/>
      <c r="AE67" s="6">
        <v>3</v>
      </c>
      <c r="AF67">
        <v>2</v>
      </c>
      <c r="AG67">
        <v>2.8133333333333335</v>
      </c>
    </row>
    <row r="68" spans="27:33" x14ac:dyDescent="0.3">
      <c r="AA68" s="14">
        <v>6</v>
      </c>
      <c r="AB68" s="110">
        <v>3.9499999999999997</v>
      </c>
      <c r="AC68" s="54"/>
      <c r="AD68" s="54"/>
      <c r="AE68" s="6">
        <v>3</v>
      </c>
      <c r="AF68">
        <v>1</v>
      </c>
      <c r="AG68">
        <v>0.79250000000000009</v>
      </c>
    </row>
    <row r="69" spans="27:33" x14ac:dyDescent="0.3">
      <c r="AA69" s="14">
        <v>6</v>
      </c>
      <c r="AB69" s="110">
        <v>4.4300000000000006</v>
      </c>
      <c r="AC69" s="54"/>
      <c r="AD69" s="54"/>
      <c r="AE69" s="6">
        <v>3</v>
      </c>
      <c r="AF69">
        <v>2</v>
      </c>
      <c r="AG69">
        <v>2.76</v>
      </c>
    </row>
    <row r="70" spans="27:33" x14ac:dyDescent="0.3">
      <c r="AA70">
        <v>7</v>
      </c>
      <c r="AB70" s="54">
        <v>1.325</v>
      </c>
      <c r="AC70" s="54"/>
      <c r="AD70" s="54"/>
      <c r="AE70" s="6">
        <v>3</v>
      </c>
      <c r="AF70">
        <v>1</v>
      </c>
      <c r="AG70">
        <v>3.5250000000000004</v>
      </c>
    </row>
    <row r="71" spans="27:33" x14ac:dyDescent="0.3">
      <c r="AA71">
        <v>7</v>
      </c>
      <c r="AB71" s="54">
        <v>1.75</v>
      </c>
      <c r="AC71" s="54"/>
      <c r="AD71" s="54"/>
      <c r="AE71" s="6">
        <v>3</v>
      </c>
      <c r="AF71">
        <v>2</v>
      </c>
      <c r="AG71">
        <v>1.8199999999999998</v>
      </c>
    </row>
    <row r="72" spans="27:33" x14ac:dyDescent="0.3">
      <c r="AA72">
        <v>7</v>
      </c>
      <c r="AB72" s="54">
        <v>1.175</v>
      </c>
      <c r="AC72" s="54"/>
      <c r="AD72" s="54"/>
      <c r="AE72" s="6">
        <v>4</v>
      </c>
      <c r="AF72">
        <v>1</v>
      </c>
      <c r="AG72">
        <v>0.35</v>
      </c>
    </row>
    <row r="73" spans="27:33" x14ac:dyDescent="0.3">
      <c r="AA73">
        <v>7</v>
      </c>
      <c r="AB73" s="54">
        <v>0.1</v>
      </c>
      <c r="AC73" s="54"/>
      <c r="AD73" s="54"/>
      <c r="AE73" s="6">
        <v>4</v>
      </c>
      <c r="AF73">
        <v>2</v>
      </c>
      <c r="AG73">
        <v>2.6</v>
      </c>
    </row>
    <row r="74" spans="27:33" x14ac:dyDescent="0.3">
      <c r="AA74">
        <v>7</v>
      </c>
      <c r="AB74" s="54">
        <v>2</v>
      </c>
      <c r="AC74" s="54"/>
      <c r="AD74" s="54"/>
      <c r="AE74" s="6">
        <v>4</v>
      </c>
      <c r="AF74">
        <v>1</v>
      </c>
      <c r="AG74">
        <v>0.9</v>
      </c>
    </row>
    <row r="75" spans="27:33" x14ac:dyDescent="0.3">
      <c r="AA75">
        <v>7</v>
      </c>
      <c r="AB75" s="54">
        <v>1.3199999999999998</v>
      </c>
      <c r="AC75" s="54"/>
      <c r="AD75" s="54"/>
      <c r="AE75" s="6">
        <v>4</v>
      </c>
      <c r="AF75">
        <v>2</v>
      </c>
      <c r="AG75">
        <v>1.85</v>
      </c>
    </row>
    <row r="76" spans="27:33" x14ac:dyDescent="0.3">
      <c r="AA76">
        <v>7</v>
      </c>
      <c r="AB76" s="54">
        <v>1</v>
      </c>
      <c r="AC76" s="54"/>
      <c r="AD76" s="54"/>
      <c r="AE76" s="59">
        <v>4</v>
      </c>
      <c r="AF76">
        <v>1</v>
      </c>
      <c r="AG76">
        <v>5.8999999999999995</v>
      </c>
    </row>
    <row r="77" spans="27:33" x14ac:dyDescent="0.3">
      <c r="AA77" s="14">
        <v>8</v>
      </c>
      <c r="AB77" s="110">
        <v>28.200000000000003</v>
      </c>
      <c r="AC77" s="54"/>
      <c r="AD77" s="54"/>
      <c r="AE77" s="59">
        <v>4</v>
      </c>
      <c r="AF77">
        <v>2</v>
      </c>
      <c r="AG77">
        <v>4.3</v>
      </c>
    </row>
    <row r="78" spans="27:33" x14ac:dyDescent="0.3">
      <c r="AA78" s="14">
        <v>8</v>
      </c>
      <c r="AB78" s="110">
        <v>6.6</v>
      </c>
      <c r="AC78" s="54"/>
      <c r="AD78" s="54"/>
      <c r="AE78" s="59">
        <v>4</v>
      </c>
      <c r="AF78">
        <v>1</v>
      </c>
      <c r="AG78">
        <v>0</v>
      </c>
    </row>
    <row r="79" spans="27:33" x14ac:dyDescent="0.3">
      <c r="AA79" s="14">
        <v>8</v>
      </c>
      <c r="AB79" s="110">
        <v>11</v>
      </c>
      <c r="AC79" s="54"/>
      <c r="AD79" s="54"/>
      <c r="AE79" s="59">
        <v>4</v>
      </c>
      <c r="AF79">
        <v>2</v>
      </c>
      <c r="AG79">
        <v>4.24</v>
      </c>
    </row>
    <row r="80" spans="27:33" x14ac:dyDescent="0.3">
      <c r="AA80" s="14">
        <v>8</v>
      </c>
      <c r="AB80" s="110">
        <v>26.599999999999998</v>
      </c>
      <c r="AC80" s="54"/>
      <c r="AD80" s="54"/>
      <c r="AE80" s="59">
        <v>4</v>
      </c>
      <c r="AF80">
        <v>1</v>
      </c>
      <c r="AG80">
        <v>0.25</v>
      </c>
    </row>
    <row r="81" spans="27:33" x14ac:dyDescent="0.3">
      <c r="AA81" s="14">
        <v>8</v>
      </c>
      <c r="AB81" s="110">
        <v>7.04</v>
      </c>
      <c r="AC81" s="54"/>
      <c r="AD81" s="54"/>
      <c r="AE81" s="59">
        <v>4</v>
      </c>
      <c r="AF81">
        <v>2</v>
      </c>
      <c r="AG81">
        <v>4.12</v>
      </c>
    </row>
    <row r="82" spans="27:33" x14ac:dyDescent="0.3">
      <c r="AA82" s="14">
        <v>8</v>
      </c>
      <c r="AB82" s="110">
        <v>20.92</v>
      </c>
      <c r="AC82" s="54"/>
      <c r="AD82" s="54"/>
      <c r="AE82" s="59">
        <v>4</v>
      </c>
      <c r="AF82">
        <v>2</v>
      </c>
      <c r="AG82">
        <v>3.1300000000000003</v>
      </c>
    </row>
    <row r="83" spans="27:33" x14ac:dyDescent="0.3">
      <c r="AA83" s="14">
        <v>8</v>
      </c>
      <c r="AB83" s="110">
        <v>14.64</v>
      </c>
      <c r="AC83" s="54"/>
      <c r="AD83" s="54"/>
      <c r="AE83" s="59">
        <v>4</v>
      </c>
      <c r="AF83">
        <v>1</v>
      </c>
      <c r="AG83">
        <v>1.24</v>
      </c>
    </row>
    <row r="84" spans="27:33" x14ac:dyDescent="0.3">
      <c r="AA84">
        <v>9</v>
      </c>
      <c r="AB84" s="54">
        <v>13.7</v>
      </c>
      <c r="AC84" s="54"/>
      <c r="AD84" s="54"/>
      <c r="AE84" s="59">
        <v>4</v>
      </c>
      <c r="AF84">
        <v>2</v>
      </c>
      <c r="AG84">
        <v>0.72000000000000008</v>
      </c>
    </row>
    <row r="85" spans="27:33" x14ac:dyDescent="0.3">
      <c r="AA85">
        <v>9</v>
      </c>
      <c r="AB85" s="54">
        <v>2.6500000000000004</v>
      </c>
      <c r="AC85" s="54"/>
      <c r="AD85" s="54"/>
      <c r="AE85" s="59">
        <v>4</v>
      </c>
      <c r="AF85">
        <v>1</v>
      </c>
      <c r="AG85">
        <v>5.629999999999999</v>
      </c>
    </row>
    <row r="86" spans="27:33" x14ac:dyDescent="0.3">
      <c r="AA86">
        <v>9</v>
      </c>
      <c r="AB86" s="54">
        <v>1.85</v>
      </c>
      <c r="AC86" s="54"/>
      <c r="AD86" s="54"/>
      <c r="AE86" s="59">
        <v>4</v>
      </c>
      <c r="AF86">
        <v>2</v>
      </c>
      <c r="AG86">
        <v>0.83000000000000007</v>
      </c>
    </row>
    <row r="87" spans="27:33" x14ac:dyDescent="0.3">
      <c r="AA87">
        <v>9</v>
      </c>
      <c r="AB87" s="54">
        <v>4.33</v>
      </c>
      <c r="AC87" s="54"/>
      <c r="AD87" s="54"/>
      <c r="AE87" s="59">
        <v>5</v>
      </c>
      <c r="AF87">
        <v>1</v>
      </c>
      <c r="AG87">
        <v>0.15</v>
      </c>
    </row>
    <row r="88" spans="27:33" x14ac:dyDescent="0.3">
      <c r="AA88">
        <v>9</v>
      </c>
      <c r="AB88" s="54">
        <v>5.22</v>
      </c>
      <c r="AC88" s="54"/>
      <c r="AD88" s="54"/>
      <c r="AE88" s="59">
        <v>5</v>
      </c>
      <c r="AF88">
        <v>2</v>
      </c>
      <c r="AG88">
        <v>2.4500000000000002</v>
      </c>
    </row>
    <row r="89" spans="27:33" x14ac:dyDescent="0.3">
      <c r="AA89">
        <v>9</v>
      </c>
      <c r="AB89" s="54">
        <v>2.33</v>
      </c>
      <c r="AC89" s="54"/>
      <c r="AD89" s="54"/>
      <c r="AE89" s="59">
        <v>5</v>
      </c>
      <c r="AF89">
        <v>1</v>
      </c>
      <c r="AG89">
        <v>0.2</v>
      </c>
    </row>
    <row r="90" spans="27:33" x14ac:dyDescent="0.3">
      <c r="AA90">
        <v>9</v>
      </c>
      <c r="AB90" s="54">
        <v>1.8900000000000001</v>
      </c>
      <c r="AC90" s="54"/>
      <c r="AD90" s="54"/>
      <c r="AE90" s="59">
        <v>5</v>
      </c>
      <c r="AF90">
        <v>2</v>
      </c>
      <c r="AG90">
        <v>0.55000000000000004</v>
      </c>
    </row>
    <row r="91" spans="27:33" x14ac:dyDescent="0.3">
      <c r="AA91" s="14">
        <v>10</v>
      </c>
      <c r="AB91" s="110">
        <v>16.149999999999999</v>
      </c>
      <c r="AC91" s="54"/>
      <c r="AD91" s="54"/>
      <c r="AE91" s="59">
        <v>5</v>
      </c>
      <c r="AF91">
        <v>1</v>
      </c>
      <c r="AG91">
        <v>1.9</v>
      </c>
    </row>
    <row r="92" spans="27:33" x14ac:dyDescent="0.3">
      <c r="AA92" s="14">
        <v>10</v>
      </c>
      <c r="AB92" s="110">
        <v>20.8</v>
      </c>
      <c r="AC92" s="54"/>
      <c r="AD92" s="54"/>
      <c r="AE92" s="59">
        <v>5</v>
      </c>
      <c r="AF92">
        <v>2</v>
      </c>
      <c r="AG92">
        <v>3.2</v>
      </c>
    </row>
    <row r="93" spans="27:33" x14ac:dyDescent="0.3">
      <c r="AA93" s="14">
        <v>10</v>
      </c>
      <c r="AB93" s="110">
        <v>17.75</v>
      </c>
      <c r="AC93" s="54"/>
      <c r="AD93" s="54"/>
      <c r="AE93" s="59">
        <v>5</v>
      </c>
      <c r="AF93">
        <v>1</v>
      </c>
      <c r="AG93">
        <v>0.8</v>
      </c>
    </row>
    <row r="94" spans="27:33" x14ac:dyDescent="0.3">
      <c r="AA94" s="14">
        <v>10</v>
      </c>
      <c r="AB94" s="110">
        <v>22.71</v>
      </c>
      <c r="AC94" s="54"/>
      <c r="AD94" s="54"/>
      <c r="AE94" s="59">
        <v>5</v>
      </c>
      <c r="AF94">
        <v>2</v>
      </c>
      <c r="AG94">
        <v>14.8</v>
      </c>
    </row>
    <row r="95" spans="27:33" x14ac:dyDescent="0.3">
      <c r="AA95" s="14">
        <v>10</v>
      </c>
      <c r="AB95" s="110">
        <v>32.64</v>
      </c>
      <c r="AC95" s="54"/>
      <c r="AD95" s="54"/>
      <c r="AE95" s="59">
        <v>5</v>
      </c>
      <c r="AF95">
        <v>1</v>
      </c>
      <c r="AG95">
        <v>2.7</v>
      </c>
    </row>
    <row r="96" spans="27:33" x14ac:dyDescent="0.3">
      <c r="AA96" s="14">
        <v>10</v>
      </c>
      <c r="AB96" s="110">
        <v>17.100000000000001</v>
      </c>
      <c r="AC96" s="54"/>
      <c r="AD96" s="54"/>
      <c r="AE96" s="59">
        <v>5</v>
      </c>
      <c r="AF96">
        <v>2</v>
      </c>
      <c r="AG96">
        <v>16.310000000000002</v>
      </c>
    </row>
    <row r="97" spans="27:33" x14ac:dyDescent="0.3">
      <c r="AA97" s="14">
        <v>10</v>
      </c>
      <c r="AB97" s="110">
        <v>25.839999999999996</v>
      </c>
      <c r="AC97" s="54"/>
      <c r="AD97" s="54"/>
      <c r="AE97" s="59">
        <v>5</v>
      </c>
      <c r="AF97">
        <v>2</v>
      </c>
      <c r="AG97">
        <v>11.079999999999998</v>
      </c>
    </row>
    <row r="98" spans="27:33" x14ac:dyDescent="0.3">
      <c r="AA98">
        <v>11</v>
      </c>
      <c r="AB98" s="54">
        <v>5.35</v>
      </c>
      <c r="AE98" s="59">
        <v>5</v>
      </c>
      <c r="AF98">
        <v>1</v>
      </c>
      <c r="AG98">
        <v>4.9399999999999995</v>
      </c>
    </row>
    <row r="99" spans="27:33" x14ac:dyDescent="0.3">
      <c r="AA99">
        <v>11</v>
      </c>
      <c r="AB99" s="54">
        <v>4.7</v>
      </c>
      <c r="AE99" s="59">
        <v>5</v>
      </c>
      <c r="AF99">
        <v>2</v>
      </c>
      <c r="AG99">
        <v>3.9899999999999998</v>
      </c>
    </row>
    <row r="100" spans="27:33" x14ac:dyDescent="0.3">
      <c r="AA100">
        <v>11</v>
      </c>
      <c r="AB100" s="54">
        <v>4.1500000000000004</v>
      </c>
      <c r="AE100" s="59">
        <v>5</v>
      </c>
      <c r="AF100">
        <v>1</v>
      </c>
      <c r="AG100">
        <v>7.3199999999999994</v>
      </c>
    </row>
    <row r="101" spans="27:33" x14ac:dyDescent="0.3">
      <c r="AA101">
        <v>11</v>
      </c>
      <c r="AB101" s="54">
        <v>7.0200000000000005</v>
      </c>
      <c r="AE101" s="59">
        <v>5</v>
      </c>
      <c r="AF101">
        <v>2</v>
      </c>
      <c r="AG101">
        <v>5.17</v>
      </c>
    </row>
    <row r="102" spans="27:33" x14ac:dyDescent="0.3">
      <c r="AA102">
        <v>11</v>
      </c>
      <c r="AB102" s="54">
        <v>14.309999999999999</v>
      </c>
      <c r="AE102" s="59">
        <v>6</v>
      </c>
      <c r="AF102">
        <v>1</v>
      </c>
      <c r="AG102">
        <v>1.0249999999999999</v>
      </c>
    </row>
    <row r="103" spans="27:33" x14ac:dyDescent="0.3">
      <c r="AA103">
        <v>11</v>
      </c>
      <c r="AB103" s="54">
        <v>7.9399999999999995</v>
      </c>
      <c r="AE103" s="59">
        <v>6</v>
      </c>
      <c r="AF103">
        <v>2</v>
      </c>
      <c r="AG103">
        <v>0.4</v>
      </c>
    </row>
    <row r="104" spans="27:33" x14ac:dyDescent="0.3">
      <c r="AA104">
        <v>11</v>
      </c>
      <c r="AB104" s="54">
        <v>15.030000000000001</v>
      </c>
      <c r="AE104" s="59">
        <v>6</v>
      </c>
      <c r="AF104">
        <v>1</v>
      </c>
      <c r="AG104">
        <v>1.85</v>
      </c>
    </row>
    <row r="105" spans="27:33" x14ac:dyDescent="0.3">
      <c r="AA105" s="14">
        <v>12</v>
      </c>
      <c r="AB105" s="110">
        <v>2.15</v>
      </c>
      <c r="AD105" s="54"/>
      <c r="AE105" s="59">
        <v>6</v>
      </c>
      <c r="AF105">
        <v>2</v>
      </c>
      <c r="AG105">
        <v>0.5</v>
      </c>
    </row>
    <row r="106" spans="27:33" x14ac:dyDescent="0.3">
      <c r="AA106" s="14">
        <v>12</v>
      </c>
      <c r="AB106" s="110">
        <v>2.4500000000000002</v>
      </c>
      <c r="AD106" s="54"/>
      <c r="AE106" s="59">
        <v>6</v>
      </c>
      <c r="AF106">
        <v>1</v>
      </c>
      <c r="AG106">
        <v>1.325</v>
      </c>
    </row>
    <row r="107" spans="27:33" x14ac:dyDescent="0.3">
      <c r="AA107" s="14">
        <v>12</v>
      </c>
      <c r="AB107" s="110">
        <v>2.4500000000000002</v>
      </c>
      <c r="AD107" s="54"/>
      <c r="AE107" s="59">
        <v>6</v>
      </c>
      <c r="AF107">
        <v>2</v>
      </c>
      <c r="AG107">
        <v>0.75</v>
      </c>
    </row>
    <row r="108" spans="27:33" x14ac:dyDescent="0.3">
      <c r="AA108" s="14">
        <v>12</v>
      </c>
      <c r="AB108" s="110">
        <v>1.3</v>
      </c>
      <c r="AE108" s="59">
        <v>6</v>
      </c>
      <c r="AF108">
        <v>1</v>
      </c>
      <c r="AG108">
        <v>0</v>
      </c>
    </row>
    <row r="109" spans="27:33" x14ac:dyDescent="0.3">
      <c r="AA109" s="14">
        <v>12</v>
      </c>
      <c r="AB109" s="110">
        <v>6.29</v>
      </c>
      <c r="AE109" s="59">
        <v>6</v>
      </c>
      <c r="AF109">
        <v>2</v>
      </c>
      <c r="AG109">
        <v>1.8</v>
      </c>
    </row>
    <row r="110" spans="27:33" x14ac:dyDescent="0.3">
      <c r="AA110" s="14">
        <v>12</v>
      </c>
      <c r="AB110" s="110">
        <v>4.5</v>
      </c>
      <c r="AE110" s="59">
        <v>6</v>
      </c>
      <c r="AF110">
        <v>1</v>
      </c>
      <c r="AG110">
        <v>0</v>
      </c>
    </row>
    <row r="111" spans="27:33" x14ac:dyDescent="0.3">
      <c r="AA111" s="14">
        <v>12</v>
      </c>
      <c r="AB111" s="110">
        <v>16.8</v>
      </c>
      <c r="AE111" s="59">
        <v>6</v>
      </c>
      <c r="AF111">
        <v>2</v>
      </c>
      <c r="AG111">
        <v>0.7</v>
      </c>
    </row>
    <row r="112" spans="27:33" x14ac:dyDescent="0.3">
      <c r="AA112">
        <v>13</v>
      </c>
      <c r="AB112" s="54">
        <v>111.4</v>
      </c>
      <c r="AE112" s="59">
        <v>6</v>
      </c>
      <c r="AF112">
        <v>2</v>
      </c>
      <c r="AG112">
        <v>3.125</v>
      </c>
    </row>
    <row r="113" spans="27:33" x14ac:dyDescent="0.3">
      <c r="AA113">
        <v>13</v>
      </c>
      <c r="AB113" s="54">
        <v>89</v>
      </c>
      <c r="AE113" s="59">
        <v>6</v>
      </c>
      <c r="AF113">
        <v>1</v>
      </c>
      <c r="AG113">
        <v>2.15</v>
      </c>
    </row>
    <row r="114" spans="27:33" x14ac:dyDescent="0.3">
      <c r="AA114">
        <v>13</v>
      </c>
      <c r="AB114" s="54">
        <v>122.39999999999998</v>
      </c>
      <c r="AE114" s="59">
        <v>6</v>
      </c>
      <c r="AF114">
        <v>2</v>
      </c>
      <c r="AG114">
        <v>1.7999999999999998</v>
      </c>
    </row>
    <row r="115" spans="27:33" x14ac:dyDescent="0.3">
      <c r="AA115">
        <v>13</v>
      </c>
      <c r="AB115" s="54">
        <v>98.049999999999983</v>
      </c>
      <c r="AE115" s="59">
        <v>6</v>
      </c>
      <c r="AF115">
        <v>1</v>
      </c>
      <c r="AG115">
        <v>1.8100000000000003</v>
      </c>
    </row>
    <row r="116" spans="27:33" x14ac:dyDescent="0.3">
      <c r="AA116">
        <v>13</v>
      </c>
      <c r="AB116" s="54">
        <v>268.55</v>
      </c>
      <c r="AE116" s="59">
        <v>6</v>
      </c>
      <c r="AF116">
        <v>2</v>
      </c>
      <c r="AG116">
        <v>2.62</v>
      </c>
    </row>
    <row r="117" spans="27:33" x14ac:dyDescent="0.3">
      <c r="AA117">
        <v>13</v>
      </c>
      <c r="AB117" s="54">
        <v>156.95000000000002</v>
      </c>
      <c r="AE117" s="59">
        <v>7</v>
      </c>
      <c r="AF117">
        <v>1</v>
      </c>
      <c r="AG117">
        <v>1.0249999999999999</v>
      </c>
    </row>
    <row r="118" spans="27:33" x14ac:dyDescent="0.3">
      <c r="AA118">
        <v>13</v>
      </c>
      <c r="AB118" s="54">
        <v>158.91999999999996</v>
      </c>
      <c r="AE118" s="59">
        <v>7</v>
      </c>
      <c r="AF118">
        <v>2</v>
      </c>
      <c r="AG118">
        <v>0.3</v>
      </c>
    </row>
    <row r="119" spans="27:33" x14ac:dyDescent="0.3">
      <c r="AE119" s="59">
        <v>7</v>
      </c>
      <c r="AF119">
        <v>1</v>
      </c>
      <c r="AG119">
        <v>1.5</v>
      </c>
    </row>
    <row r="120" spans="27:33" x14ac:dyDescent="0.3">
      <c r="AE120" s="59">
        <v>7</v>
      </c>
      <c r="AF120">
        <v>2</v>
      </c>
      <c r="AG120">
        <v>0.25</v>
      </c>
    </row>
    <row r="121" spans="27:33" x14ac:dyDescent="0.3">
      <c r="AE121" s="59">
        <v>7</v>
      </c>
      <c r="AF121">
        <v>1</v>
      </c>
      <c r="AG121">
        <v>0.875</v>
      </c>
    </row>
    <row r="122" spans="27:33" x14ac:dyDescent="0.3">
      <c r="AE122" s="59">
        <v>7</v>
      </c>
      <c r="AF122">
        <v>2</v>
      </c>
      <c r="AG122">
        <v>0.3</v>
      </c>
    </row>
    <row r="123" spans="27:33" x14ac:dyDescent="0.3">
      <c r="AE123" s="59">
        <v>7</v>
      </c>
      <c r="AF123">
        <v>1</v>
      </c>
      <c r="AG123">
        <v>0</v>
      </c>
    </row>
    <row r="124" spans="27:33" x14ac:dyDescent="0.3">
      <c r="AE124" s="59">
        <v>7</v>
      </c>
      <c r="AF124">
        <v>2</v>
      </c>
      <c r="AG124">
        <v>0.1</v>
      </c>
    </row>
    <row r="125" spans="27:33" x14ac:dyDescent="0.3">
      <c r="AE125" s="59">
        <v>7</v>
      </c>
      <c r="AF125">
        <v>1</v>
      </c>
      <c r="AG125">
        <v>1.2</v>
      </c>
    </row>
    <row r="126" spans="27:33" x14ac:dyDescent="0.3">
      <c r="AE126" s="59">
        <v>7</v>
      </c>
      <c r="AF126">
        <v>2</v>
      </c>
      <c r="AG126">
        <v>0.8</v>
      </c>
    </row>
    <row r="127" spans="27:33" x14ac:dyDescent="0.3">
      <c r="AE127" s="59">
        <v>7</v>
      </c>
      <c r="AF127">
        <v>2</v>
      </c>
      <c r="AG127">
        <v>0</v>
      </c>
    </row>
    <row r="128" spans="27:33" x14ac:dyDescent="0.3">
      <c r="AE128" s="59">
        <v>7</v>
      </c>
      <c r="AF128">
        <v>1</v>
      </c>
      <c r="AG128">
        <v>0</v>
      </c>
    </row>
    <row r="129" spans="28:33" x14ac:dyDescent="0.3">
      <c r="AE129" s="59">
        <v>7</v>
      </c>
      <c r="AF129">
        <v>2</v>
      </c>
      <c r="AG129">
        <v>1.3199999999999998</v>
      </c>
    </row>
    <row r="130" spans="28:33" x14ac:dyDescent="0.3">
      <c r="AE130" s="59">
        <v>7</v>
      </c>
      <c r="AF130">
        <v>1</v>
      </c>
      <c r="AG130">
        <v>1</v>
      </c>
    </row>
    <row r="131" spans="28:33" x14ac:dyDescent="0.3">
      <c r="AE131" s="59">
        <v>7</v>
      </c>
      <c r="AF131">
        <v>2</v>
      </c>
      <c r="AG131">
        <v>0</v>
      </c>
    </row>
    <row r="132" spans="28:33" x14ac:dyDescent="0.3">
      <c r="AE132" s="59">
        <v>8</v>
      </c>
      <c r="AF132">
        <v>1</v>
      </c>
      <c r="AG132">
        <v>11.4</v>
      </c>
    </row>
    <row r="133" spans="28:33" x14ac:dyDescent="0.3">
      <c r="AE133" s="59">
        <v>8</v>
      </c>
      <c r="AF133">
        <v>2</v>
      </c>
      <c r="AG133">
        <v>16.8</v>
      </c>
    </row>
    <row r="134" spans="28:33" x14ac:dyDescent="0.3">
      <c r="AE134" s="59">
        <v>8</v>
      </c>
      <c r="AF134">
        <v>1</v>
      </c>
      <c r="AG134">
        <v>1.6</v>
      </c>
    </row>
    <row r="135" spans="28:33" x14ac:dyDescent="0.3">
      <c r="AE135" s="59">
        <v>8</v>
      </c>
      <c r="AF135">
        <v>2</v>
      </c>
      <c r="AG135">
        <v>5</v>
      </c>
    </row>
    <row r="136" spans="28:33" x14ac:dyDescent="0.3">
      <c r="AE136" s="59">
        <v>8</v>
      </c>
      <c r="AF136">
        <v>1</v>
      </c>
      <c r="AG136">
        <v>5.8</v>
      </c>
    </row>
    <row r="137" spans="28:33" x14ac:dyDescent="0.3">
      <c r="AE137" s="59">
        <v>8</v>
      </c>
      <c r="AF137">
        <v>2</v>
      </c>
      <c r="AG137">
        <v>5.2</v>
      </c>
    </row>
    <row r="138" spans="28:33" x14ac:dyDescent="0.3">
      <c r="AB138" s="54"/>
      <c r="AC138" s="54"/>
      <c r="AE138" s="59">
        <v>8</v>
      </c>
      <c r="AF138">
        <v>1</v>
      </c>
      <c r="AG138">
        <v>2.9</v>
      </c>
    </row>
    <row r="139" spans="28:33" x14ac:dyDescent="0.3">
      <c r="AB139" s="54"/>
      <c r="AC139" s="54"/>
      <c r="AE139" s="59">
        <v>8</v>
      </c>
      <c r="AF139">
        <v>2</v>
      </c>
      <c r="AG139">
        <v>23.7</v>
      </c>
    </row>
    <row r="140" spans="28:33" x14ac:dyDescent="0.3">
      <c r="AB140" s="54"/>
      <c r="AC140" s="54"/>
      <c r="AE140" s="59">
        <v>8</v>
      </c>
      <c r="AF140">
        <v>1</v>
      </c>
      <c r="AG140">
        <v>2.88</v>
      </c>
    </row>
    <row r="141" spans="28:33" x14ac:dyDescent="0.3">
      <c r="AB141" s="54"/>
      <c r="AC141" s="54"/>
      <c r="AE141" s="59">
        <v>8</v>
      </c>
      <c r="AF141">
        <v>2</v>
      </c>
      <c r="AG141">
        <v>4.16</v>
      </c>
    </row>
    <row r="142" spans="28:33" x14ac:dyDescent="0.3">
      <c r="AB142" s="54"/>
      <c r="AC142" s="54"/>
      <c r="AE142" s="59">
        <v>8</v>
      </c>
      <c r="AF142">
        <v>2</v>
      </c>
      <c r="AG142">
        <v>13.4</v>
      </c>
    </row>
    <row r="143" spans="28:33" x14ac:dyDescent="0.3">
      <c r="AB143" s="54"/>
      <c r="AC143" s="54"/>
      <c r="AE143" s="59">
        <v>8</v>
      </c>
      <c r="AF143">
        <v>1</v>
      </c>
      <c r="AG143">
        <v>9.120000000000001</v>
      </c>
    </row>
    <row r="144" spans="28:33" x14ac:dyDescent="0.3">
      <c r="AB144" s="54"/>
      <c r="AC144" s="54"/>
      <c r="AE144" s="59">
        <v>8</v>
      </c>
      <c r="AF144">
        <v>2</v>
      </c>
      <c r="AG144">
        <v>11.799999999999999</v>
      </c>
    </row>
    <row r="145" spans="28:33" x14ac:dyDescent="0.3">
      <c r="AB145" s="54"/>
      <c r="AC145" s="54"/>
      <c r="AE145" s="59">
        <v>8</v>
      </c>
      <c r="AF145">
        <v>1</v>
      </c>
      <c r="AG145">
        <v>5.54</v>
      </c>
    </row>
    <row r="146" spans="28:33" x14ac:dyDescent="0.3">
      <c r="AB146" s="54"/>
      <c r="AC146" s="54"/>
      <c r="AE146" s="59">
        <v>8</v>
      </c>
      <c r="AF146">
        <v>2</v>
      </c>
      <c r="AG146">
        <v>9.1000000000000014</v>
      </c>
    </row>
    <row r="147" spans="28:33" x14ac:dyDescent="0.3">
      <c r="AB147" s="54"/>
      <c r="AC147" s="54"/>
      <c r="AE147" s="59">
        <v>9</v>
      </c>
      <c r="AF147">
        <v>1</v>
      </c>
      <c r="AG147">
        <v>11</v>
      </c>
    </row>
    <row r="148" spans="28:33" x14ac:dyDescent="0.3">
      <c r="AB148" s="54"/>
      <c r="AC148" s="54"/>
      <c r="AE148" s="59">
        <v>9</v>
      </c>
      <c r="AF148">
        <v>2</v>
      </c>
      <c r="AG148">
        <v>2.7</v>
      </c>
    </row>
    <row r="149" spans="28:33" x14ac:dyDescent="0.3">
      <c r="AB149" s="54"/>
      <c r="AC149" s="54"/>
      <c r="AE149" s="59">
        <v>9</v>
      </c>
      <c r="AF149">
        <v>1</v>
      </c>
      <c r="AG149">
        <v>0.95000000000000007</v>
      </c>
    </row>
    <row r="150" spans="28:33" x14ac:dyDescent="0.3">
      <c r="AB150" s="54"/>
      <c r="AC150" s="54"/>
      <c r="AE150" s="59">
        <v>9</v>
      </c>
      <c r="AF150">
        <v>2</v>
      </c>
      <c r="AG150">
        <v>1.7000000000000002</v>
      </c>
    </row>
    <row r="151" spans="28:33" x14ac:dyDescent="0.3">
      <c r="AB151" s="54"/>
      <c r="AC151" s="54"/>
      <c r="AE151" s="59">
        <v>9</v>
      </c>
      <c r="AF151">
        <v>1</v>
      </c>
      <c r="AG151">
        <v>0.65</v>
      </c>
    </row>
    <row r="152" spans="28:33" x14ac:dyDescent="0.3">
      <c r="AB152" s="54"/>
      <c r="AC152" s="54"/>
      <c r="AE152" s="59">
        <v>9</v>
      </c>
      <c r="AF152">
        <v>2</v>
      </c>
      <c r="AG152">
        <v>1.2</v>
      </c>
    </row>
    <row r="153" spans="28:33" x14ac:dyDescent="0.3">
      <c r="AB153" s="54"/>
      <c r="AE153" s="59">
        <v>9</v>
      </c>
      <c r="AF153">
        <v>1</v>
      </c>
      <c r="AG153">
        <v>0.45</v>
      </c>
    </row>
    <row r="154" spans="28:33" x14ac:dyDescent="0.3">
      <c r="AB154" s="54"/>
      <c r="AE154" s="59">
        <v>9</v>
      </c>
      <c r="AF154">
        <v>2</v>
      </c>
      <c r="AG154">
        <v>3.88</v>
      </c>
    </row>
    <row r="155" spans="28:33" x14ac:dyDescent="0.3">
      <c r="AB155" s="54"/>
      <c r="AE155" s="59">
        <v>9</v>
      </c>
      <c r="AF155">
        <v>1</v>
      </c>
      <c r="AG155">
        <v>0.95000000000000007</v>
      </c>
    </row>
    <row r="156" spans="28:33" x14ac:dyDescent="0.3">
      <c r="AB156" s="54"/>
      <c r="AE156" s="59">
        <v>9</v>
      </c>
      <c r="AF156">
        <v>2</v>
      </c>
      <c r="AG156">
        <v>4.2699999999999996</v>
      </c>
    </row>
    <row r="157" spans="28:33" x14ac:dyDescent="0.3">
      <c r="AB157" s="54"/>
      <c r="AE157" s="59">
        <v>9</v>
      </c>
      <c r="AF157">
        <v>2</v>
      </c>
      <c r="AG157">
        <v>5.2</v>
      </c>
    </row>
    <row r="158" spans="28:33" x14ac:dyDescent="0.3">
      <c r="AB158" s="54"/>
      <c r="AE158" s="59">
        <v>9</v>
      </c>
      <c r="AF158">
        <v>1</v>
      </c>
      <c r="AG158">
        <v>0.9900000000000001</v>
      </c>
    </row>
    <row r="159" spans="28:33" x14ac:dyDescent="0.3">
      <c r="AB159" s="54"/>
      <c r="AE159" s="59">
        <v>9</v>
      </c>
      <c r="AF159">
        <v>2</v>
      </c>
      <c r="AG159">
        <v>1.34</v>
      </c>
    </row>
    <row r="160" spans="28:33" x14ac:dyDescent="0.3">
      <c r="AB160" s="54"/>
      <c r="AE160" s="59">
        <v>9</v>
      </c>
      <c r="AF160">
        <v>1</v>
      </c>
      <c r="AG160">
        <v>1.4100000000000001</v>
      </c>
    </row>
    <row r="161" spans="28:33" x14ac:dyDescent="0.3">
      <c r="AB161" s="54"/>
      <c r="AE161" s="59">
        <v>9</v>
      </c>
      <c r="AF161">
        <v>2</v>
      </c>
      <c r="AG161">
        <v>0.48</v>
      </c>
    </row>
    <row r="162" spans="28:33" x14ac:dyDescent="0.3">
      <c r="AB162" s="54"/>
      <c r="AE162" s="6">
        <v>10</v>
      </c>
      <c r="AF162">
        <v>1</v>
      </c>
      <c r="AG162">
        <v>8</v>
      </c>
    </row>
    <row r="163" spans="28:33" x14ac:dyDescent="0.3">
      <c r="AB163" s="54"/>
      <c r="AE163" s="6">
        <v>10</v>
      </c>
      <c r="AF163">
        <v>2</v>
      </c>
      <c r="AG163">
        <v>8.15</v>
      </c>
    </row>
    <row r="164" spans="28:33" x14ac:dyDescent="0.3">
      <c r="AB164" s="54"/>
      <c r="AE164" s="6">
        <v>10</v>
      </c>
      <c r="AF164">
        <v>1</v>
      </c>
      <c r="AG164">
        <v>12.5</v>
      </c>
    </row>
    <row r="165" spans="28:33" x14ac:dyDescent="0.3">
      <c r="AB165" s="54"/>
      <c r="AE165" s="6">
        <v>10</v>
      </c>
      <c r="AF165">
        <v>2</v>
      </c>
      <c r="AG165">
        <v>8.3000000000000007</v>
      </c>
    </row>
    <row r="166" spans="28:33" x14ac:dyDescent="0.3">
      <c r="AB166" s="54"/>
      <c r="AE166" s="6">
        <v>10</v>
      </c>
      <c r="AF166">
        <v>1</v>
      </c>
      <c r="AG166">
        <v>5.3</v>
      </c>
    </row>
    <row r="167" spans="28:33" x14ac:dyDescent="0.3">
      <c r="AB167" s="54"/>
      <c r="AE167" s="6">
        <v>10</v>
      </c>
      <c r="AF167">
        <v>2</v>
      </c>
      <c r="AG167">
        <v>12.450000000000001</v>
      </c>
    </row>
    <row r="168" spans="28:33" x14ac:dyDescent="0.3">
      <c r="AE168" s="6">
        <v>10</v>
      </c>
      <c r="AF168">
        <v>1</v>
      </c>
      <c r="AG168">
        <v>6.93</v>
      </c>
    </row>
    <row r="169" spans="28:33" x14ac:dyDescent="0.3">
      <c r="AE169" s="6">
        <v>10</v>
      </c>
      <c r="AF169">
        <v>2</v>
      </c>
      <c r="AG169">
        <v>15.780000000000001</v>
      </c>
    </row>
    <row r="170" spans="28:33" x14ac:dyDescent="0.3">
      <c r="AE170" s="6">
        <v>10</v>
      </c>
      <c r="AF170">
        <v>1</v>
      </c>
      <c r="AG170">
        <v>14.08</v>
      </c>
    </row>
    <row r="171" spans="28:33" x14ac:dyDescent="0.3">
      <c r="AE171" s="6">
        <v>10</v>
      </c>
      <c r="AF171">
        <v>2</v>
      </c>
      <c r="AG171">
        <v>18.559999999999999</v>
      </c>
    </row>
    <row r="172" spans="28:33" x14ac:dyDescent="0.3">
      <c r="AE172" s="6">
        <v>10</v>
      </c>
      <c r="AF172">
        <v>2</v>
      </c>
      <c r="AG172">
        <v>14.700000000000001</v>
      </c>
    </row>
    <row r="173" spans="28:33" x14ac:dyDescent="0.3">
      <c r="AE173" s="6">
        <v>10</v>
      </c>
      <c r="AF173">
        <v>1</v>
      </c>
      <c r="AG173">
        <v>7.4700000000000006</v>
      </c>
    </row>
    <row r="174" spans="28:33" x14ac:dyDescent="0.3">
      <c r="AE174" s="6">
        <v>10</v>
      </c>
      <c r="AF174">
        <v>2</v>
      </c>
      <c r="AG174">
        <v>9.6300000000000008</v>
      </c>
    </row>
    <row r="175" spans="28:33" x14ac:dyDescent="0.3">
      <c r="AE175" s="6">
        <v>10</v>
      </c>
      <c r="AF175">
        <v>1</v>
      </c>
      <c r="AG175">
        <v>21.799999999999997</v>
      </c>
    </row>
    <row r="176" spans="28:33" x14ac:dyDescent="0.3">
      <c r="AE176" s="6">
        <v>10</v>
      </c>
      <c r="AF176">
        <v>2</v>
      </c>
      <c r="AG176">
        <v>4.04</v>
      </c>
    </row>
    <row r="177" spans="31:33" x14ac:dyDescent="0.3">
      <c r="AE177" s="6">
        <v>11</v>
      </c>
      <c r="AF177">
        <v>1</v>
      </c>
      <c r="AG177">
        <v>1.7</v>
      </c>
    </row>
    <row r="178" spans="31:33" x14ac:dyDescent="0.3">
      <c r="AE178" s="6">
        <v>11</v>
      </c>
      <c r="AF178">
        <v>2</v>
      </c>
      <c r="AG178">
        <v>3.6499999999999995</v>
      </c>
    </row>
    <row r="179" spans="31:33" x14ac:dyDescent="0.3">
      <c r="AE179" s="6">
        <v>11</v>
      </c>
      <c r="AF179">
        <v>1</v>
      </c>
      <c r="AG179">
        <v>1.75</v>
      </c>
    </row>
    <row r="180" spans="31:33" x14ac:dyDescent="0.3">
      <c r="AE180" s="6">
        <v>11</v>
      </c>
      <c r="AF180">
        <v>2</v>
      </c>
      <c r="AG180">
        <v>2.95</v>
      </c>
    </row>
    <row r="181" spans="31:33" x14ac:dyDescent="0.3">
      <c r="AE181" s="6">
        <v>11</v>
      </c>
      <c r="AF181">
        <v>1</v>
      </c>
      <c r="AG181">
        <v>2.5</v>
      </c>
    </row>
    <row r="182" spans="31:33" x14ac:dyDescent="0.3">
      <c r="AE182" s="6">
        <v>11</v>
      </c>
      <c r="AF182">
        <v>2</v>
      </c>
      <c r="AG182">
        <v>1.65</v>
      </c>
    </row>
    <row r="183" spans="31:33" x14ac:dyDescent="0.3">
      <c r="AE183" s="6">
        <v>11</v>
      </c>
      <c r="AF183">
        <v>1</v>
      </c>
      <c r="AG183">
        <v>0.19999999999999998</v>
      </c>
    </row>
    <row r="184" spans="31:33" x14ac:dyDescent="0.3">
      <c r="AE184" s="6">
        <v>11</v>
      </c>
      <c r="AF184">
        <v>2</v>
      </c>
      <c r="AG184">
        <v>6.82</v>
      </c>
    </row>
    <row r="185" spans="31:33" x14ac:dyDescent="0.3">
      <c r="AE185" s="6">
        <v>11</v>
      </c>
      <c r="AF185">
        <v>1</v>
      </c>
      <c r="AG185">
        <v>4.2</v>
      </c>
    </row>
    <row r="186" spans="31:33" x14ac:dyDescent="0.3">
      <c r="AE186" s="6">
        <v>11</v>
      </c>
      <c r="AF186">
        <v>2</v>
      </c>
      <c r="AG186">
        <v>10.11</v>
      </c>
    </row>
    <row r="187" spans="31:33" x14ac:dyDescent="0.3">
      <c r="AE187" s="6">
        <v>11</v>
      </c>
      <c r="AF187">
        <v>2</v>
      </c>
      <c r="AG187">
        <v>4.84</v>
      </c>
    </row>
    <row r="188" spans="31:33" x14ac:dyDescent="0.3">
      <c r="AE188" s="6">
        <v>11</v>
      </c>
      <c r="AF188">
        <v>1</v>
      </c>
      <c r="AG188">
        <v>2.5499999999999998</v>
      </c>
    </row>
    <row r="189" spans="31:33" x14ac:dyDescent="0.3">
      <c r="AE189" s="6">
        <v>11</v>
      </c>
      <c r="AF189">
        <v>2</v>
      </c>
      <c r="AG189">
        <v>5.39</v>
      </c>
    </row>
    <row r="190" spans="31:33" x14ac:dyDescent="0.3">
      <c r="AE190" s="6">
        <v>11</v>
      </c>
      <c r="AF190">
        <v>1</v>
      </c>
      <c r="AG190">
        <v>13.49</v>
      </c>
    </row>
    <row r="191" spans="31:33" x14ac:dyDescent="0.3">
      <c r="AE191" s="6">
        <v>11</v>
      </c>
      <c r="AF191">
        <v>2</v>
      </c>
      <c r="AG191">
        <v>1.54</v>
      </c>
    </row>
    <row r="192" spans="31:33" x14ac:dyDescent="0.3">
      <c r="AE192" s="6">
        <v>12</v>
      </c>
      <c r="AF192">
        <v>1</v>
      </c>
      <c r="AG192">
        <v>1.9</v>
      </c>
    </row>
    <row r="193" spans="31:33" x14ac:dyDescent="0.3">
      <c r="AE193" s="6">
        <v>12</v>
      </c>
      <c r="AF193">
        <v>2</v>
      </c>
      <c r="AG193">
        <v>0.25</v>
      </c>
    </row>
    <row r="194" spans="31:33" x14ac:dyDescent="0.3">
      <c r="AE194" s="6">
        <v>12</v>
      </c>
      <c r="AF194">
        <v>1</v>
      </c>
      <c r="AG194">
        <v>0.5</v>
      </c>
    </row>
    <row r="195" spans="31:33" x14ac:dyDescent="0.3">
      <c r="AE195" s="6">
        <v>12</v>
      </c>
      <c r="AF195">
        <v>2</v>
      </c>
      <c r="AG195">
        <v>1.95</v>
      </c>
    </row>
    <row r="196" spans="31:33" x14ac:dyDescent="0.3">
      <c r="AE196" s="6">
        <v>12</v>
      </c>
      <c r="AF196">
        <v>1</v>
      </c>
      <c r="AG196">
        <v>1.6500000000000001</v>
      </c>
    </row>
    <row r="197" spans="31:33" x14ac:dyDescent="0.3">
      <c r="AE197" s="6">
        <v>12</v>
      </c>
      <c r="AF197">
        <v>2</v>
      </c>
      <c r="AG197">
        <v>0.8</v>
      </c>
    </row>
    <row r="198" spans="31:33" x14ac:dyDescent="0.3">
      <c r="AE198" s="6">
        <v>12</v>
      </c>
      <c r="AF198">
        <v>1</v>
      </c>
      <c r="AG198">
        <v>0</v>
      </c>
    </row>
    <row r="199" spans="31:33" x14ac:dyDescent="0.3">
      <c r="AE199" s="6">
        <v>12</v>
      </c>
      <c r="AF199">
        <v>2</v>
      </c>
      <c r="AG199">
        <v>1.3</v>
      </c>
    </row>
    <row r="200" spans="31:33" x14ac:dyDescent="0.3">
      <c r="AE200" s="6">
        <v>12</v>
      </c>
      <c r="AF200">
        <v>1</v>
      </c>
      <c r="AG200">
        <v>0.12</v>
      </c>
    </row>
    <row r="201" spans="31:33" x14ac:dyDescent="0.3">
      <c r="AE201" s="6">
        <v>12</v>
      </c>
      <c r="AF201">
        <v>2</v>
      </c>
      <c r="AG201">
        <v>6.17</v>
      </c>
    </row>
    <row r="202" spans="31:33" x14ac:dyDescent="0.3">
      <c r="AE202" s="6">
        <v>12</v>
      </c>
      <c r="AF202">
        <v>2</v>
      </c>
      <c r="AG202">
        <v>3.15</v>
      </c>
    </row>
    <row r="203" spans="31:33" x14ac:dyDescent="0.3">
      <c r="AE203" s="6">
        <v>12</v>
      </c>
      <c r="AF203">
        <v>1</v>
      </c>
      <c r="AG203">
        <v>3</v>
      </c>
    </row>
    <row r="204" spans="31:33" x14ac:dyDescent="0.3">
      <c r="AE204" s="6">
        <v>12</v>
      </c>
      <c r="AF204">
        <v>2</v>
      </c>
      <c r="AG204">
        <v>1.5</v>
      </c>
    </row>
    <row r="205" spans="31:33" x14ac:dyDescent="0.3">
      <c r="AE205" s="6">
        <v>12</v>
      </c>
      <c r="AF205">
        <v>1</v>
      </c>
      <c r="AG205">
        <v>0</v>
      </c>
    </row>
    <row r="206" spans="31:33" x14ac:dyDescent="0.3">
      <c r="AE206" s="6">
        <v>12</v>
      </c>
      <c r="AF206">
        <v>2</v>
      </c>
      <c r="AG206">
        <v>16.8</v>
      </c>
    </row>
  </sheetData>
  <pageMargins left="0.7" right="0.7" top="0.75" bottom="0.75" header="0.3" footer="0.3"/>
  <pageSetup paperSize="9" orientation="portrait" horizontalDpi="0" verticalDpi="0"/>
  <ignoredErrors>
    <ignoredError sqref="Z3:Z19 T21:T22 H33:T34 H27:T31" formulaRange="1"/>
  </ignoredError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V38" sqref="V38"/>
    </sheetView>
  </sheetViews>
  <sheetFormatPr defaultColWidth="11.5546875" defaultRowHeight="14.4" x14ac:dyDescent="0.3"/>
  <cols>
    <col min="1" max="1" width="17" style="112" customWidth="1"/>
    <col min="2" max="2" width="11.109375" bestFit="1" customWidth="1"/>
    <col min="3" max="3" width="21.109375" bestFit="1" customWidth="1"/>
    <col min="4" max="5" width="21.77734375" bestFit="1" customWidth="1"/>
  </cols>
  <sheetData>
    <row r="1" spans="1:6" x14ac:dyDescent="0.3">
      <c r="A1" s="155" t="s">
        <v>314</v>
      </c>
      <c r="B1" s="164"/>
      <c r="C1" t="s">
        <v>315</v>
      </c>
      <c r="D1" t="s">
        <v>316</v>
      </c>
      <c r="E1" t="s">
        <v>317</v>
      </c>
      <c r="F1" t="s">
        <v>318</v>
      </c>
    </row>
    <row r="2" spans="1:6" x14ac:dyDescent="0.3">
      <c r="A2" s="155"/>
      <c r="B2" s="164"/>
    </row>
    <row r="3" spans="1:6" x14ac:dyDescent="0.3">
      <c r="A3" s="163" t="s">
        <v>319</v>
      </c>
      <c r="B3" t="s">
        <v>127</v>
      </c>
      <c r="C3" s="3">
        <v>8.7650000000000006</v>
      </c>
      <c r="E3" s="3">
        <v>3.423</v>
      </c>
    </row>
    <row r="4" spans="1:6" x14ac:dyDescent="0.3">
      <c r="A4" s="163"/>
      <c r="B4" t="s">
        <v>93</v>
      </c>
      <c r="C4" s="3">
        <v>4.2949799999999998</v>
      </c>
      <c r="E4" s="3">
        <v>1.9085700000000001</v>
      </c>
    </row>
    <row r="5" spans="1:6" ht="16.05" customHeight="1" x14ac:dyDescent="0.3">
      <c r="A5" s="163" t="s">
        <v>320</v>
      </c>
      <c r="B5" t="s">
        <v>127</v>
      </c>
      <c r="C5" s="3">
        <v>16.081800000000001</v>
      </c>
      <c r="E5" s="3">
        <v>6.35</v>
      </c>
    </row>
    <row r="6" spans="1:6" x14ac:dyDescent="0.3">
      <c r="A6" s="163"/>
      <c r="B6" t="s">
        <v>93</v>
      </c>
      <c r="C6" s="3">
        <v>9.7577800000000003</v>
      </c>
      <c r="E6" s="3">
        <v>2.9802900000000001</v>
      </c>
    </row>
    <row r="7" spans="1:6" ht="16.95" customHeight="1" x14ac:dyDescent="0.3">
      <c r="A7" s="163" t="s">
        <v>321</v>
      </c>
      <c r="B7" t="s">
        <v>322</v>
      </c>
      <c r="C7" s="3">
        <v>2.1</v>
      </c>
      <c r="E7" s="3">
        <v>1.77</v>
      </c>
    </row>
    <row r="8" spans="1:6" x14ac:dyDescent="0.3">
      <c r="A8" s="163"/>
      <c r="B8" t="s">
        <v>323</v>
      </c>
      <c r="C8" s="3">
        <v>0</v>
      </c>
      <c r="E8" s="3">
        <v>0</v>
      </c>
    </row>
    <row r="9" spans="1:6" x14ac:dyDescent="0.3">
      <c r="A9" s="163"/>
      <c r="B9" t="s">
        <v>324</v>
      </c>
      <c r="C9" s="3">
        <v>5.9</v>
      </c>
      <c r="E9" s="3">
        <v>2.96</v>
      </c>
    </row>
    <row r="10" spans="1:6" x14ac:dyDescent="0.3">
      <c r="A10" s="163" t="s">
        <v>325</v>
      </c>
      <c r="B10" t="s">
        <v>127</v>
      </c>
      <c r="C10" s="3">
        <v>3.82</v>
      </c>
      <c r="E10" s="3">
        <v>2.7057000000000002</v>
      </c>
    </row>
    <row r="11" spans="1:6" x14ac:dyDescent="0.3">
      <c r="A11" s="163"/>
      <c r="B11" t="s">
        <v>93</v>
      </c>
      <c r="C11" s="3">
        <v>3.5685199999999999</v>
      </c>
      <c r="E11" s="3">
        <v>2.0537100000000001</v>
      </c>
    </row>
    <row r="12" spans="1:6" ht="16.95" customHeight="1" x14ac:dyDescent="0.3">
      <c r="A12" s="163" t="s">
        <v>153</v>
      </c>
      <c r="B12" t="s">
        <v>127</v>
      </c>
      <c r="C12" s="3">
        <v>86.916399999999996</v>
      </c>
      <c r="E12" s="3">
        <v>34.802100000000003</v>
      </c>
    </row>
    <row r="13" spans="1:6" x14ac:dyDescent="0.3">
      <c r="A13" s="163"/>
      <c r="B13" t="s">
        <v>93</v>
      </c>
      <c r="C13" s="3">
        <v>30.44529</v>
      </c>
      <c r="E13" s="3">
        <v>11.489699999999999</v>
      </c>
    </row>
    <row r="14" spans="1:6" x14ac:dyDescent="0.3">
      <c r="A14" s="112" t="s">
        <v>326</v>
      </c>
      <c r="B14" t="s">
        <v>322</v>
      </c>
      <c r="C14" s="3">
        <v>168</v>
      </c>
      <c r="E14" s="3">
        <v>67.555000000000007</v>
      </c>
    </row>
    <row r="15" spans="1:6" x14ac:dyDescent="0.3">
      <c r="B15" t="s">
        <v>323</v>
      </c>
      <c r="C15" s="3">
        <v>51</v>
      </c>
      <c r="E15" s="3">
        <v>34.917499999999997</v>
      </c>
    </row>
    <row r="16" spans="1:6" x14ac:dyDescent="0.3">
      <c r="C16" s="3"/>
      <c r="E16" s="3"/>
    </row>
    <row r="17" spans="1:8" x14ac:dyDescent="0.3">
      <c r="A17" s="155"/>
      <c r="B17" s="155"/>
      <c r="C17" s="3"/>
      <c r="D17" s="3"/>
    </row>
    <row r="18" spans="1:8" x14ac:dyDescent="0.3">
      <c r="C18" s="3"/>
      <c r="D18" s="3"/>
    </row>
    <row r="19" spans="1:8" x14ac:dyDescent="0.3">
      <c r="C19" s="3"/>
      <c r="D19" s="3"/>
    </row>
    <row r="20" spans="1:8" x14ac:dyDescent="0.3">
      <c r="C20" s="3"/>
      <c r="D20" s="3"/>
    </row>
    <row r="21" spans="1:8" x14ac:dyDescent="0.3">
      <c r="C21" s="3" t="s">
        <v>315</v>
      </c>
      <c r="D21" t="s">
        <v>93</v>
      </c>
      <c r="E21" t="s">
        <v>327</v>
      </c>
      <c r="F21" s="3" t="s">
        <v>328</v>
      </c>
      <c r="G21" t="s">
        <v>93</v>
      </c>
      <c r="H21" t="s">
        <v>329</v>
      </c>
    </row>
    <row r="22" spans="1:8" x14ac:dyDescent="0.3">
      <c r="B22" s="112" t="s">
        <v>227</v>
      </c>
      <c r="C22" s="82">
        <v>8.7650000000000006</v>
      </c>
      <c r="D22" s="3">
        <v>4.2949799999999998</v>
      </c>
      <c r="E22" s="82">
        <f>(C22/$C$28)*100</f>
        <v>7.4479619860778783</v>
      </c>
      <c r="F22" s="82">
        <v>3.423</v>
      </c>
      <c r="G22" s="3">
        <v>1.9085700000000001</v>
      </c>
      <c r="H22" s="82">
        <f>(F22/$F$28)*100</f>
        <v>6.9784794539538595</v>
      </c>
    </row>
    <row r="23" spans="1:8" x14ac:dyDescent="0.3">
      <c r="B23" t="s">
        <v>330</v>
      </c>
      <c r="C23" s="82">
        <v>16.081800000000001</v>
      </c>
      <c r="D23" s="3">
        <v>9.7577800000000003</v>
      </c>
      <c r="E23" s="82">
        <f t="shared" ref="E23:E26" si="0">(C23/$C$28)*100</f>
        <v>13.665332010006528</v>
      </c>
      <c r="F23" s="82">
        <v>6.35</v>
      </c>
      <c r="G23" s="3">
        <v>2.9802900000000001</v>
      </c>
      <c r="H23" s="82">
        <f t="shared" ref="H23:H26" si="1">(F23/$F$28)*100</f>
        <v>12.945762352499857</v>
      </c>
    </row>
    <row r="24" spans="1:8" x14ac:dyDescent="0.3">
      <c r="B24" t="s">
        <v>331</v>
      </c>
      <c r="C24" s="82">
        <v>2.1</v>
      </c>
      <c r="E24" s="82">
        <f t="shared" si="0"/>
        <v>1.7844518164020013</v>
      </c>
      <c r="F24" s="82">
        <v>1.77</v>
      </c>
      <c r="H24" s="82">
        <f t="shared" si="1"/>
        <v>3.6085038368385427</v>
      </c>
    </row>
    <row r="25" spans="1:8" x14ac:dyDescent="0.3">
      <c r="B25" t="s">
        <v>244</v>
      </c>
      <c r="C25" s="82">
        <v>3.82</v>
      </c>
      <c r="D25" s="3">
        <v>3.5685199999999999</v>
      </c>
      <c r="E25" s="82">
        <f t="shared" si="0"/>
        <v>3.2460028279312594</v>
      </c>
      <c r="F25" s="82">
        <v>2.7057000000000002</v>
      </c>
      <c r="G25" s="3">
        <v>2.0537100000000001</v>
      </c>
      <c r="H25" s="82">
        <f t="shared" si="1"/>
        <v>5.5161179838045458</v>
      </c>
    </row>
    <row r="26" spans="1:8" x14ac:dyDescent="0.3">
      <c r="B26" t="s">
        <v>153</v>
      </c>
      <c r="C26" s="82">
        <v>86.916399999999996</v>
      </c>
      <c r="D26" s="3">
        <v>30.44529</v>
      </c>
      <c r="E26" s="82">
        <f t="shared" si="0"/>
        <v>73.85625135958233</v>
      </c>
      <c r="F26" s="82">
        <v>34.802100000000003</v>
      </c>
      <c r="G26" s="3">
        <v>11.489699999999999</v>
      </c>
      <c r="H26" s="82">
        <f t="shared" si="1"/>
        <v>70.951136372903207</v>
      </c>
    </row>
    <row r="27" spans="1:8" x14ac:dyDescent="0.3">
      <c r="B27" t="s">
        <v>332</v>
      </c>
      <c r="C27" s="6">
        <f>C14</f>
        <v>168</v>
      </c>
      <c r="D27" s="3"/>
      <c r="E27" s="82"/>
      <c r="F27" s="6">
        <f>E14</f>
        <v>67.555000000000007</v>
      </c>
      <c r="G27" s="3"/>
      <c r="H27" s="82"/>
    </row>
    <row r="28" spans="1:8" x14ac:dyDescent="0.3">
      <c r="B28" t="s">
        <v>333</v>
      </c>
      <c r="C28" s="6">
        <f>SUM(C22:C26)</f>
        <v>117.6832</v>
      </c>
      <c r="D28" s="6"/>
      <c r="E28" s="82">
        <f>SUM(E22:E26)</f>
        <v>100</v>
      </c>
      <c r="F28" s="6">
        <f t="shared" ref="F28" si="2">SUM(F22:F26)</f>
        <v>49.050800000000002</v>
      </c>
      <c r="H28" s="82">
        <f>SUM(H22:H26)</f>
        <v>100.00000000000001</v>
      </c>
    </row>
    <row r="29" spans="1:8" x14ac:dyDescent="0.3">
      <c r="C29" s="3"/>
      <c r="D29" s="3"/>
    </row>
    <row r="30" spans="1:8" x14ac:dyDescent="0.3">
      <c r="C30" s="3"/>
      <c r="D30" s="3"/>
    </row>
    <row r="31" spans="1:8" x14ac:dyDescent="0.3">
      <c r="C31" s="3"/>
      <c r="D31" s="3"/>
    </row>
    <row r="32" spans="1:8" x14ac:dyDescent="0.3">
      <c r="C32" s="3"/>
      <c r="D32" s="3"/>
    </row>
    <row r="33" spans="3:4" x14ac:dyDescent="0.3">
      <c r="C33" s="3"/>
      <c r="D33" s="3"/>
    </row>
    <row r="34" spans="3:4" x14ac:dyDescent="0.3">
      <c r="C34" s="3"/>
      <c r="D34" s="3"/>
    </row>
    <row r="35" spans="3:4" x14ac:dyDescent="0.3">
      <c r="C35" s="3"/>
    </row>
    <row r="36" spans="3:4" x14ac:dyDescent="0.3">
      <c r="C36" s="3"/>
    </row>
  </sheetData>
  <mergeCells count="8">
    <mergeCell ref="A12:A13"/>
    <mergeCell ref="A17:B17"/>
    <mergeCell ref="A1:A2"/>
    <mergeCell ref="B1:B2"/>
    <mergeCell ref="A3:A4"/>
    <mergeCell ref="A5:A6"/>
    <mergeCell ref="A7:A9"/>
    <mergeCell ref="A10:A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2"/>
  <sheetViews>
    <sheetView workbookViewId="0">
      <selection activeCell="T32" sqref="T32"/>
    </sheetView>
  </sheetViews>
  <sheetFormatPr defaultColWidth="11.5546875" defaultRowHeight="14.4" x14ac:dyDescent="0.3"/>
  <cols>
    <col min="2" max="2" width="12.33203125" customWidth="1"/>
    <col min="5" max="5" width="12.33203125" bestFit="1" customWidth="1"/>
  </cols>
  <sheetData>
    <row r="1" spans="1:34" x14ac:dyDescent="0.3">
      <c r="A1" t="s">
        <v>30</v>
      </c>
      <c r="B1" t="s">
        <v>17</v>
      </c>
      <c r="C1" t="s">
        <v>219</v>
      </c>
      <c r="D1" t="s">
        <v>220</v>
      </c>
      <c r="E1" t="s">
        <v>221</v>
      </c>
      <c r="F1" t="s">
        <v>59</v>
      </c>
      <c r="G1" t="s">
        <v>60</v>
      </c>
      <c r="H1" t="s">
        <v>0</v>
      </c>
      <c r="I1" t="s">
        <v>76</v>
      </c>
      <c r="J1" t="s">
        <v>83</v>
      </c>
      <c r="K1" t="s">
        <v>78</v>
      </c>
      <c r="L1" t="s">
        <v>82</v>
      </c>
      <c r="M1" t="s">
        <v>112</v>
      </c>
      <c r="N1" t="s">
        <v>81</v>
      </c>
      <c r="O1" t="s">
        <v>222</v>
      </c>
      <c r="P1" t="s">
        <v>80</v>
      </c>
      <c r="Q1" t="s">
        <v>84</v>
      </c>
      <c r="R1" t="s">
        <v>85</v>
      </c>
      <c r="S1" t="s">
        <v>86</v>
      </c>
      <c r="T1" t="s">
        <v>87</v>
      </c>
      <c r="U1" t="s">
        <v>223</v>
      </c>
      <c r="V1" t="s">
        <v>89</v>
      </c>
      <c r="W1" t="s">
        <v>12</v>
      </c>
      <c r="X1" t="s">
        <v>224</v>
      </c>
      <c r="Y1" t="s">
        <v>14</v>
      </c>
    </row>
    <row r="2" spans="1:34" x14ac:dyDescent="0.3">
      <c r="A2">
        <v>6</v>
      </c>
      <c r="B2" t="s">
        <v>167</v>
      </c>
      <c r="C2">
        <v>5</v>
      </c>
      <c r="D2">
        <v>0</v>
      </c>
      <c r="E2">
        <v>1</v>
      </c>
      <c r="F2">
        <v>111.51</v>
      </c>
      <c r="G2" s="82">
        <v>60.11</v>
      </c>
      <c r="H2" s="82">
        <v>23</v>
      </c>
      <c r="I2" s="82">
        <v>0.65</v>
      </c>
      <c r="J2" s="82">
        <v>0.65</v>
      </c>
      <c r="K2" s="82">
        <v>0</v>
      </c>
      <c r="L2" s="82">
        <v>3.75</v>
      </c>
      <c r="M2" s="82">
        <v>9.4600000000000009</v>
      </c>
      <c r="N2" s="82">
        <v>0</v>
      </c>
      <c r="O2" s="82">
        <v>0.9</v>
      </c>
      <c r="P2" s="82">
        <v>0.1</v>
      </c>
      <c r="Q2" s="82">
        <v>7.95</v>
      </c>
      <c r="R2" s="82">
        <v>3.8</v>
      </c>
      <c r="S2" s="82">
        <v>0.3</v>
      </c>
      <c r="T2" s="82">
        <v>5.55</v>
      </c>
      <c r="U2" s="82">
        <v>2.7</v>
      </c>
      <c r="V2" s="82">
        <v>0</v>
      </c>
      <c r="W2" s="82">
        <v>1.3</v>
      </c>
      <c r="X2" s="82">
        <v>0</v>
      </c>
      <c r="Y2" s="82">
        <v>51.4</v>
      </c>
    </row>
    <row r="3" spans="1:34" x14ac:dyDescent="0.3">
      <c r="A3">
        <v>6</v>
      </c>
      <c r="B3" t="s">
        <v>168</v>
      </c>
      <c r="C3">
        <v>7</v>
      </c>
      <c r="D3">
        <v>0</v>
      </c>
      <c r="E3">
        <v>1</v>
      </c>
      <c r="F3">
        <v>210.42</v>
      </c>
      <c r="G3" s="82">
        <v>101.37</v>
      </c>
      <c r="H3" s="82">
        <v>15.5</v>
      </c>
      <c r="I3" s="82">
        <v>0.78</v>
      </c>
      <c r="J3" s="82">
        <v>0.78</v>
      </c>
      <c r="K3" s="82">
        <v>0</v>
      </c>
      <c r="L3" s="82">
        <v>2.37</v>
      </c>
      <c r="M3" s="82">
        <v>14.31</v>
      </c>
      <c r="N3" s="82">
        <v>0</v>
      </c>
      <c r="O3" s="82">
        <v>0.5</v>
      </c>
      <c r="P3" s="82">
        <v>0</v>
      </c>
      <c r="Q3" s="82">
        <v>0</v>
      </c>
      <c r="R3" s="82">
        <v>3.46</v>
      </c>
      <c r="S3" s="82">
        <v>54.9</v>
      </c>
      <c r="T3" s="82">
        <v>4.3</v>
      </c>
      <c r="U3" s="82">
        <v>3.54</v>
      </c>
      <c r="V3" s="82">
        <v>0</v>
      </c>
      <c r="W3" s="82">
        <v>0.94</v>
      </c>
      <c r="X3" s="82">
        <v>0</v>
      </c>
      <c r="Y3" s="82">
        <v>109.05</v>
      </c>
    </row>
    <row r="4" spans="1:34" x14ac:dyDescent="0.3">
      <c r="A4">
        <v>6</v>
      </c>
      <c r="B4" t="s">
        <v>169</v>
      </c>
      <c r="C4">
        <v>1</v>
      </c>
      <c r="D4">
        <v>1</v>
      </c>
      <c r="E4">
        <v>1</v>
      </c>
      <c r="F4">
        <v>180.7</v>
      </c>
      <c r="G4" s="82">
        <v>75</v>
      </c>
      <c r="H4" s="82">
        <v>9.25</v>
      </c>
      <c r="I4" s="82">
        <v>0.87</v>
      </c>
      <c r="J4" s="82">
        <v>0.43</v>
      </c>
      <c r="K4" s="82">
        <v>0</v>
      </c>
      <c r="L4" s="82">
        <v>1.8</v>
      </c>
      <c r="M4" s="82">
        <v>6.55</v>
      </c>
      <c r="N4" s="82">
        <v>0</v>
      </c>
      <c r="O4" s="82">
        <v>0</v>
      </c>
      <c r="P4" s="82">
        <v>0</v>
      </c>
      <c r="Q4" s="82">
        <v>7.85</v>
      </c>
      <c r="R4" s="82">
        <v>2.5499999999999998</v>
      </c>
      <c r="S4" s="82">
        <v>38.1</v>
      </c>
      <c r="T4" s="82">
        <v>6.4</v>
      </c>
      <c r="U4" s="82">
        <v>1.2</v>
      </c>
      <c r="V4" s="82">
        <v>0</v>
      </c>
      <c r="W4" s="82">
        <v>0</v>
      </c>
      <c r="X4" s="82">
        <v>0</v>
      </c>
      <c r="Y4" s="82">
        <v>105.7</v>
      </c>
    </row>
    <row r="5" spans="1:34" x14ac:dyDescent="0.3">
      <c r="A5">
        <v>6</v>
      </c>
      <c r="B5" t="s">
        <v>171</v>
      </c>
      <c r="C5">
        <v>3</v>
      </c>
      <c r="D5">
        <v>1</v>
      </c>
      <c r="E5">
        <v>1</v>
      </c>
      <c r="F5">
        <v>50.13</v>
      </c>
      <c r="G5" s="82">
        <v>37.68</v>
      </c>
      <c r="H5" s="82">
        <v>3.8</v>
      </c>
      <c r="I5" s="82">
        <v>0.76</v>
      </c>
      <c r="J5" s="82">
        <v>0.76</v>
      </c>
      <c r="K5" s="82">
        <v>0</v>
      </c>
      <c r="L5" s="82">
        <v>0.98</v>
      </c>
      <c r="M5" s="82">
        <v>6.1</v>
      </c>
      <c r="N5" s="82">
        <v>0</v>
      </c>
      <c r="O5" s="82">
        <v>0.11</v>
      </c>
      <c r="P5" s="82">
        <v>0.2</v>
      </c>
      <c r="Q5" s="82">
        <v>3.54</v>
      </c>
      <c r="R5" s="82">
        <v>1.26</v>
      </c>
      <c r="S5" s="82">
        <v>0</v>
      </c>
      <c r="T5" s="82">
        <v>8.5</v>
      </c>
      <c r="U5" s="82">
        <v>11.68</v>
      </c>
      <c r="V5" s="82">
        <v>0</v>
      </c>
      <c r="W5" s="82">
        <v>0</v>
      </c>
      <c r="X5" s="82">
        <v>0</v>
      </c>
      <c r="Y5" s="82">
        <v>12.45</v>
      </c>
    </row>
    <row r="6" spans="1:34" x14ac:dyDescent="0.3">
      <c r="A6">
        <v>6</v>
      </c>
      <c r="B6" s="48">
        <v>44197</v>
      </c>
      <c r="C6">
        <v>6</v>
      </c>
      <c r="D6">
        <v>1</v>
      </c>
      <c r="E6">
        <v>2</v>
      </c>
      <c r="F6">
        <v>5992.88</v>
      </c>
      <c r="G6" s="82">
        <v>113.84</v>
      </c>
      <c r="H6" s="82">
        <v>674.91</v>
      </c>
      <c r="I6" s="82">
        <v>0</v>
      </c>
      <c r="J6" s="82">
        <v>0</v>
      </c>
      <c r="K6" s="82">
        <v>0</v>
      </c>
      <c r="L6" s="82">
        <v>252.07</v>
      </c>
      <c r="M6" s="82">
        <v>805.01</v>
      </c>
      <c r="N6" s="82">
        <v>0</v>
      </c>
      <c r="O6" s="82">
        <v>0</v>
      </c>
      <c r="P6" s="82">
        <v>0</v>
      </c>
      <c r="Q6" s="82">
        <v>552.94000000000005</v>
      </c>
      <c r="R6" s="82">
        <v>162.63</v>
      </c>
      <c r="S6" s="82">
        <v>16.260000000000002</v>
      </c>
      <c r="T6" s="82">
        <v>0</v>
      </c>
      <c r="U6" s="82">
        <v>0</v>
      </c>
      <c r="V6" s="82">
        <v>0</v>
      </c>
      <c r="W6" s="82">
        <v>97.58</v>
      </c>
      <c r="X6" s="82">
        <v>0</v>
      </c>
      <c r="Y6" s="82">
        <v>3431.47</v>
      </c>
    </row>
    <row r="7" spans="1:34" x14ac:dyDescent="0.3">
      <c r="A7">
        <v>6</v>
      </c>
      <c r="B7" s="48">
        <v>44197</v>
      </c>
      <c r="C7">
        <v>6</v>
      </c>
      <c r="D7">
        <v>2</v>
      </c>
      <c r="E7">
        <v>2</v>
      </c>
      <c r="F7">
        <v>190.8</v>
      </c>
      <c r="G7" s="82">
        <v>26.63</v>
      </c>
      <c r="H7" s="82">
        <v>4.55</v>
      </c>
      <c r="I7" s="82">
        <v>0.2</v>
      </c>
      <c r="J7" s="82">
        <v>0.3</v>
      </c>
      <c r="K7" s="82">
        <v>0</v>
      </c>
      <c r="L7" s="82">
        <v>2.25</v>
      </c>
      <c r="M7" s="82">
        <v>5.8</v>
      </c>
      <c r="N7" s="82">
        <v>0</v>
      </c>
      <c r="O7" s="82">
        <v>0.88</v>
      </c>
      <c r="P7" s="82">
        <v>0</v>
      </c>
      <c r="Q7" s="82">
        <v>4.45</v>
      </c>
      <c r="R7" s="82">
        <v>1.4</v>
      </c>
      <c r="S7" s="82">
        <v>0</v>
      </c>
      <c r="T7" s="82">
        <v>5.95</v>
      </c>
      <c r="U7" s="82">
        <v>0.85</v>
      </c>
      <c r="V7" s="82">
        <v>0</v>
      </c>
      <c r="W7" s="82">
        <v>0</v>
      </c>
      <c r="X7" s="82">
        <v>0</v>
      </c>
      <c r="Y7" s="82">
        <v>164.17</v>
      </c>
    </row>
    <row r="9" spans="1:34" x14ac:dyDescent="0.3">
      <c r="G9" s="82"/>
      <c r="H9" s="82"/>
    </row>
    <row r="11" spans="1:34" x14ac:dyDescent="0.3">
      <c r="F11" t="s">
        <v>59</v>
      </c>
      <c r="G11" t="s">
        <v>60</v>
      </c>
      <c r="H11" t="s">
        <v>0</v>
      </c>
      <c r="I11" t="s">
        <v>76</v>
      </c>
      <c r="J11" t="s">
        <v>83</v>
      </c>
      <c r="K11" t="s">
        <v>78</v>
      </c>
      <c r="L11" t="s">
        <v>82</v>
      </c>
      <c r="M11" t="s">
        <v>112</v>
      </c>
      <c r="N11" t="s">
        <v>81</v>
      </c>
      <c r="O11" t="s">
        <v>222</v>
      </c>
      <c r="P11" t="s">
        <v>80</v>
      </c>
      <c r="Q11" t="s">
        <v>84</v>
      </c>
      <c r="R11" t="s">
        <v>85</v>
      </c>
      <c r="S11" t="s">
        <v>86</v>
      </c>
      <c r="T11" t="s">
        <v>87</v>
      </c>
      <c r="U11" t="s">
        <v>223</v>
      </c>
      <c r="V11" t="s">
        <v>89</v>
      </c>
      <c r="W11" t="s">
        <v>12</v>
      </c>
      <c r="X11" t="s">
        <v>224</v>
      </c>
      <c r="Y11" t="s">
        <v>14</v>
      </c>
      <c r="AH11" s="48">
        <v>43831</v>
      </c>
    </row>
    <row r="12" spans="1:34" x14ac:dyDescent="0.3">
      <c r="E12" t="s">
        <v>334</v>
      </c>
      <c r="F12">
        <v>105.21</v>
      </c>
      <c r="G12">
        <v>50.685000000000002</v>
      </c>
      <c r="H12">
        <v>7.75</v>
      </c>
      <c r="I12">
        <v>0.39</v>
      </c>
      <c r="J12">
        <v>0.39</v>
      </c>
      <c r="K12">
        <v>0</v>
      </c>
      <c r="L12">
        <v>1.1850000000000001</v>
      </c>
      <c r="M12">
        <v>7.1550000000000002</v>
      </c>
      <c r="N12">
        <v>0</v>
      </c>
      <c r="O12">
        <v>0.25</v>
      </c>
      <c r="P12">
        <v>0</v>
      </c>
      <c r="Q12">
        <v>0</v>
      </c>
      <c r="R12">
        <v>1.73</v>
      </c>
      <c r="S12">
        <v>27.45</v>
      </c>
      <c r="T12">
        <v>2.15</v>
      </c>
      <c r="U12">
        <v>1.77</v>
      </c>
      <c r="V12">
        <v>0</v>
      </c>
      <c r="W12">
        <v>0.47</v>
      </c>
      <c r="X12">
        <v>0</v>
      </c>
      <c r="Y12">
        <v>54.524999999999999</v>
      </c>
      <c r="AC12" t="s">
        <v>334</v>
      </c>
      <c r="AD12" t="s">
        <v>335</v>
      </c>
      <c r="AG12" t="s">
        <v>212</v>
      </c>
      <c r="AH12" s="6">
        <v>6183.68</v>
      </c>
    </row>
    <row r="13" spans="1:34" x14ac:dyDescent="0.3">
      <c r="E13" t="s">
        <v>335</v>
      </c>
      <c r="F13">
        <v>180.7</v>
      </c>
      <c r="G13">
        <v>75</v>
      </c>
      <c r="H13">
        <v>9.25</v>
      </c>
      <c r="I13">
        <v>0.87</v>
      </c>
      <c r="J13">
        <v>0.43</v>
      </c>
      <c r="K13">
        <v>0</v>
      </c>
      <c r="L13">
        <v>1.8</v>
      </c>
      <c r="M13">
        <v>6.55</v>
      </c>
      <c r="N13">
        <v>0</v>
      </c>
      <c r="O13">
        <v>0</v>
      </c>
      <c r="P13">
        <v>0</v>
      </c>
      <c r="Q13">
        <v>7.85</v>
      </c>
      <c r="R13">
        <v>2.5499999999999998</v>
      </c>
      <c r="S13">
        <v>38.1</v>
      </c>
      <c r="T13">
        <v>6.4</v>
      </c>
      <c r="U13">
        <v>1.2</v>
      </c>
      <c r="V13">
        <v>0</v>
      </c>
      <c r="W13">
        <v>0</v>
      </c>
      <c r="X13">
        <v>0</v>
      </c>
      <c r="Y13">
        <v>105.7</v>
      </c>
      <c r="AB13" t="s">
        <v>212</v>
      </c>
      <c r="AC13">
        <v>105.21</v>
      </c>
      <c r="AD13">
        <v>180.7</v>
      </c>
      <c r="AG13" t="s">
        <v>206</v>
      </c>
      <c r="AH13" s="6">
        <v>3595.64</v>
      </c>
    </row>
    <row r="14" spans="1:34" x14ac:dyDescent="0.3">
      <c r="E14" s="48">
        <v>43831</v>
      </c>
      <c r="F14">
        <f>SUM(F6:F7)</f>
        <v>6183.68</v>
      </c>
      <c r="G14">
        <f t="shared" ref="G14:Y14" si="0">SUM(G6:G7)</f>
        <v>140.47</v>
      </c>
      <c r="H14">
        <f t="shared" si="0"/>
        <v>679.45999999999992</v>
      </c>
      <c r="I14">
        <f t="shared" si="0"/>
        <v>0.2</v>
      </c>
      <c r="J14">
        <f t="shared" si="0"/>
        <v>0.3</v>
      </c>
      <c r="K14">
        <f t="shared" si="0"/>
        <v>0</v>
      </c>
      <c r="L14">
        <f t="shared" si="0"/>
        <v>254.32</v>
      </c>
      <c r="M14">
        <f t="shared" si="0"/>
        <v>810.81</v>
      </c>
      <c r="N14">
        <f t="shared" si="0"/>
        <v>0</v>
      </c>
      <c r="O14">
        <f t="shared" si="0"/>
        <v>0.88</v>
      </c>
      <c r="P14">
        <f t="shared" si="0"/>
        <v>0</v>
      </c>
      <c r="Q14">
        <f t="shared" si="0"/>
        <v>557.3900000000001</v>
      </c>
      <c r="R14">
        <f t="shared" si="0"/>
        <v>164.03</v>
      </c>
      <c r="S14">
        <f t="shared" si="0"/>
        <v>16.260000000000002</v>
      </c>
      <c r="T14">
        <f t="shared" si="0"/>
        <v>5.95</v>
      </c>
      <c r="U14">
        <f t="shared" si="0"/>
        <v>0.85</v>
      </c>
      <c r="V14">
        <f t="shared" si="0"/>
        <v>0</v>
      </c>
      <c r="W14">
        <f t="shared" si="0"/>
        <v>97.58</v>
      </c>
      <c r="X14">
        <f t="shared" si="0"/>
        <v>0</v>
      </c>
      <c r="Y14">
        <f t="shared" si="0"/>
        <v>3595.64</v>
      </c>
      <c r="AB14" t="s">
        <v>246</v>
      </c>
      <c r="AC14">
        <v>50.685000000000002</v>
      </c>
      <c r="AD14">
        <v>75</v>
      </c>
      <c r="AG14" t="s">
        <v>215</v>
      </c>
      <c r="AH14" s="6">
        <v>810.81</v>
      </c>
    </row>
    <row r="15" spans="1:34" x14ac:dyDescent="0.3">
      <c r="F15" t="s">
        <v>59</v>
      </c>
      <c r="G15" t="s">
        <v>60</v>
      </c>
      <c r="H15" t="s">
        <v>0</v>
      </c>
      <c r="I15" t="s">
        <v>76</v>
      </c>
      <c r="J15" t="s">
        <v>83</v>
      </c>
      <c r="K15" t="s">
        <v>78</v>
      </c>
      <c r="L15" t="s">
        <v>82</v>
      </c>
      <c r="M15" t="s">
        <v>112</v>
      </c>
      <c r="N15" t="s">
        <v>81</v>
      </c>
      <c r="O15" t="s">
        <v>222</v>
      </c>
      <c r="P15" t="s">
        <v>80</v>
      </c>
      <c r="Q15" t="s">
        <v>84</v>
      </c>
      <c r="R15" t="s">
        <v>85</v>
      </c>
      <c r="S15" t="s">
        <v>86</v>
      </c>
      <c r="T15" t="s">
        <v>87</v>
      </c>
      <c r="U15" t="s">
        <v>223</v>
      </c>
      <c r="V15" t="s">
        <v>89</v>
      </c>
      <c r="W15" t="s">
        <v>12</v>
      </c>
      <c r="X15" t="s">
        <v>224</v>
      </c>
      <c r="Y15" t="s">
        <v>14</v>
      </c>
      <c r="AB15" t="s">
        <v>206</v>
      </c>
      <c r="AC15">
        <v>54.524999999999999</v>
      </c>
      <c r="AD15">
        <v>105.7</v>
      </c>
      <c r="AG15" t="s">
        <v>196</v>
      </c>
      <c r="AH15" s="6">
        <v>679.45999999999992</v>
      </c>
    </row>
    <row r="16" spans="1:34" x14ac:dyDescent="0.3">
      <c r="E16" s="48">
        <v>43831</v>
      </c>
      <c r="F16" s="82">
        <v>6183.68</v>
      </c>
      <c r="G16" s="82">
        <v>140.47</v>
      </c>
      <c r="H16" s="82">
        <v>679.45999999999992</v>
      </c>
      <c r="I16" s="82">
        <v>0.2</v>
      </c>
      <c r="J16" s="82">
        <v>0.3</v>
      </c>
      <c r="K16" s="82">
        <v>0</v>
      </c>
      <c r="L16" s="82">
        <v>254.32</v>
      </c>
      <c r="M16" s="82">
        <v>810.81</v>
      </c>
      <c r="N16" s="82">
        <v>0</v>
      </c>
      <c r="O16" s="82">
        <v>0.88</v>
      </c>
      <c r="P16" s="82">
        <v>0</v>
      </c>
      <c r="Q16" s="82">
        <v>557.3900000000001</v>
      </c>
      <c r="R16" s="82">
        <v>164.03</v>
      </c>
      <c r="S16" s="82">
        <v>16.260000000000002</v>
      </c>
      <c r="T16" s="82">
        <v>5.95</v>
      </c>
      <c r="U16" s="82">
        <v>0.85</v>
      </c>
      <c r="V16" s="82">
        <v>0</v>
      </c>
      <c r="W16" s="82">
        <v>97.58</v>
      </c>
      <c r="X16" s="82">
        <v>0</v>
      </c>
      <c r="Y16" s="82">
        <v>3595.64</v>
      </c>
      <c r="AB16" t="s">
        <v>336</v>
      </c>
      <c r="AC16">
        <v>27.45</v>
      </c>
      <c r="AD16">
        <v>38.1</v>
      </c>
      <c r="AG16" t="s">
        <v>217</v>
      </c>
      <c r="AH16" s="6">
        <v>557.3900000000001</v>
      </c>
    </row>
    <row r="17" spans="28:35" x14ac:dyDescent="0.3">
      <c r="AB17" t="s">
        <v>196</v>
      </c>
      <c r="AC17">
        <v>7.75</v>
      </c>
      <c r="AD17">
        <v>9.25</v>
      </c>
      <c r="AG17" t="s">
        <v>214</v>
      </c>
      <c r="AH17" s="6">
        <v>254.32</v>
      </c>
    </row>
    <row r="18" spans="28:35" x14ac:dyDescent="0.3">
      <c r="AB18" t="s">
        <v>217</v>
      </c>
      <c r="AC18">
        <v>0</v>
      </c>
      <c r="AD18">
        <v>7.85</v>
      </c>
      <c r="AG18" t="s">
        <v>337</v>
      </c>
      <c r="AH18" s="6">
        <v>164.03</v>
      </c>
      <c r="AI18" s="113"/>
    </row>
    <row r="19" spans="28:35" x14ac:dyDescent="0.3">
      <c r="AB19" t="s">
        <v>215</v>
      </c>
      <c r="AC19">
        <v>7.1550000000000002</v>
      </c>
      <c r="AD19">
        <v>6.55</v>
      </c>
      <c r="AG19" t="s">
        <v>246</v>
      </c>
      <c r="AH19" s="6">
        <v>140.47</v>
      </c>
      <c r="AI19" s="113"/>
    </row>
    <row r="20" spans="28:35" x14ac:dyDescent="0.3">
      <c r="AB20" t="s">
        <v>203</v>
      </c>
      <c r="AC20">
        <v>2.15</v>
      </c>
      <c r="AD20">
        <v>6.4</v>
      </c>
      <c r="AG20" t="s">
        <v>12</v>
      </c>
      <c r="AH20" s="6">
        <v>97.58</v>
      </c>
      <c r="AI20" s="113"/>
    </row>
    <row r="21" spans="28:35" x14ac:dyDescent="0.3">
      <c r="AB21" t="s">
        <v>338</v>
      </c>
      <c r="AC21">
        <v>1.77</v>
      </c>
      <c r="AD21">
        <v>1.2</v>
      </c>
      <c r="AG21" t="s">
        <v>336</v>
      </c>
      <c r="AH21" s="6">
        <v>16.260000000000002</v>
      </c>
      <c r="AI21" s="113"/>
    </row>
    <row r="22" spans="28:35" x14ac:dyDescent="0.3">
      <c r="AB22" t="s">
        <v>337</v>
      </c>
      <c r="AC22">
        <v>1.73</v>
      </c>
      <c r="AD22">
        <v>2.5499999999999998</v>
      </c>
      <c r="AG22" t="s">
        <v>203</v>
      </c>
      <c r="AH22" s="6">
        <v>5.95</v>
      </c>
      <c r="AI22" s="113"/>
    </row>
    <row r="23" spans="28:35" x14ac:dyDescent="0.3">
      <c r="AB23" t="s">
        <v>214</v>
      </c>
      <c r="AC23">
        <v>1.1850000000000001</v>
      </c>
      <c r="AD23">
        <v>1.8</v>
      </c>
      <c r="AG23" t="s">
        <v>200</v>
      </c>
      <c r="AH23" s="82">
        <v>0.88</v>
      </c>
      <c r="AI23" s="113"/>
    </row>
    <row r="24" spans="28:35" x14ac:dyDescent="0.3">
      <c r="AB24" t="s">
        <v>12</v>
      </c>
      <c r="AC24">
        <v>0.47</v>
      </c>
      <c r="AD24">
        <v>0</v>
      </c>
      <c r="AG24" t="s">
        <v>338</v>
      </c>
      <c r="AH24" s="82">
        <v>0.85</v>
      </c>
      <c r="AI24" s="113"/>
    </row>
    <row r="25" spans="28:35" x14ac:dyDescent="0.3">
      <c r="AB25" t="s">
        <v>339</v>
      </c>
      <c r="AC25">
        <v>0.39</v>
      </c>
      <c r="AD25">
        <v>0.87</v>
      </c>
      <c r="AG25" t="s">
        <v>340</v>
      </c>
      <c r="AH25" s="82">
        <v>0.3</v>
      </c>
      <c r="AI25" s="113"/>
    </row>
    <row r="26" spans="28:35" x14ac:dyDescent="0.3">
      <c r="AB26" t="s">
        <v>340</v>
      </c>
      <c r="AC26">
        <v>0.39</v>
      </c>
      <c r="AD26">
        <v>0.43</v>
      </c>
      <c r="AG26" t="s">
        <v>339</v>
      </c>
      <c r="AH26" s="82">
        <v>0.2</v>
      </c>
      <c r="AI26" s="113"/>
    </row>
    <row r="27" spans="28:35" x14ac:dyDescent="0.3">
      <c r="AB27" t="s">
        <v>200</v>
      </c>
      <c r="AC27">
        <v>0.25</v>
      </c>
      <c r="AD27">
        <v>0</v>
      </c>
      <c r="AH27" s="82"/>
      <c r="AI27" s="113"/>
    </row>
    <row r="28" spans="28:35" x14ac:dyDescent="0.3">
      <c r="AH28" s="82"/>
      <c r="AI28" s="113"/>
    </row>
    <row r="29" spans="28:35" x14ac:dyDescent="0.3">
      <c r="AH29" s="82"/>
      <c r="AI29" s="113"/>
    </row>
    <row r="30" spans="28:35" x14ac:dyDescent="0.3">
      <c r="AH30" s="82"/>
      <c r="AI30" s="113"/>
    </row>
    <row r="31" spans="28:35" x14ac:dyDescent="0.3">
      <c r="AH31" s="82"/>
      <c r="AI31" s="113"/>
    </row>
    <row r="53" spans="1:25" x14ac:dyDescent="0.3">
      <c r="A53" t="s">
        <v>30</v>
      </c>
      <c r="B53" t="s">
        <v>17</v>
      </c>
      <c r="C53" t="s">
        <v>219</v>
      </c>
      <c r="D53" t="s">
        <v>220</v>
      </c>
      <c r="E53" t="s">
        <v>221</v>
      </c>
      <c r="F53" t="s">
        <v>59</v>
      </c>
      <c r="G53" t="s">
        <v>60</v>
      </c>
      <c r="H53" t="s">
        <v>0</v>
      </c>
      <c r="I53" t="s">
        <v>76</v>
      </c>
      <c r="J53" t="s">
        <v>83</v>
      </c>
      <c r="K53" t="s">
        <v>78</v>
      </c>
      <c r="L53" t="s">
        <v>82</v>
      </c>
      <c r="M53" t="s">
        <v>112</v>
      </c>
      <c r="N53" t="s">
        <v>81</v>
      </c>
      <c r="O53" t="s">
        <v>222</v>
      </c>
      <c r="P53" t="s">
        <v>80</v>
      </c>
      <c r="Q53" t="s">
        <v>84</v>
      </c>
      <c r="R53" t="s">
        <v>85</v>
      </c>
      <c r="S53" t="s">
        <v>86</v>
      </c>
      <c r="T53" t="s">
        <v>87</v>
      </c>
      <c r="U53" t="s">
        <v>223</v>
      </c>
      <c r="V53" t="s">
        <v>89</v>
      </c>
      <c r="W53" t="s">
        <v>12</v>
      </c>
      <c r="X53" t="s">
        <v>224</v>
      </c>
      <c r="Y53" t="s">
        <v>14</v>
      </c>
    </row>
    <row r="54" spans="1:25" x14ac:dyDescent="0.3">
      <c r="A54">
        <v>6</v>
      </c>
      <c r="B54" t="s">
        <v>167</v>
      </c>
      <c r="C54">
        <v>5</v>
      </c>
      <c r="D54">
        <v>0</v>
      </c>
      <c r="E54">
        <v>1</v>
      </c>
      <c r="F54">
        <v>111.51</v>
      </c>
      <c r="G54" s="82">
        <v>60.11</v>
      </c>
      <c r="H54" s="82">
        <v>23</v>
      </c>
      <c r="I54" s="82">
        <v>0.65</v>
      </c>
      <c r="J54" s="82">
        <v>0.65</v>
      </c>
      <c r="K54" s="82">
        <v>0</v>
      </c>
      <c r="L54" s="82">
        <v>3.75</v>
      </c>
      <c r="M54" s="82">
        <v>9.4600000000000009</v>
      </c>
      <c r="N54" s="82">
        <v>0</v>
      </c>
      <c r="O54" s="82">
        <v>0.9</v>
      </c>
      <c r="P54" s="82">
        <v>0.1</v>
      </c>
      <c r="Q54" s="82">
        <v>7.95</v>
      </c>
      <c r="R54" s="82">
        <v>3.8</v>
      </c>
      <c r="S54" s="82">
        <v>0.3</v>
      </c>
      <c r="T54" s="82">
        <v>5.55</v>
      </c>
      <c r="U54" s="82">
        <v>2.7</v>
      </c>
      <c r="V54" s="82">
        <v>0</v>
      </c>
      <c r="W54" s="82">
        <v>1.3</v>
      </c>
      <c r="X54" s="82">
        <v>0</v>
      </c>
      <c r="Y54" s="82">
        <v>51.4</v>
      </c>
    </row>
    <row r="55" spans="1:25" x14ac:dyDescent="0.3">
      <c r="A55">
        <v>6</v>
      </c>
      <c r="B55" t="s">
        <v>168</v>
      </c>
      <c r="C55">
        <v>7</v>
      </c>
      <c r="D55">
        <v>0</v>
      </c>
      <c r="E55">
        <v>1</v>
      </c>
      <c r="F55">
        <v>210.42</v>
      </c>
      <c r="G55" s="82">
        <v>101.37</v>
      </c>
      <c r="H55" s="82">
        <v>15.5</v>
      </c>
      <c r="I55" s="82">
        <v>0.78</v>
      </c>
      <c r="J55" s="82">
        <v>0.78</v>
      </c>
      <c r="K55" s="82">
        <v>0</v>
      </c>
      <c r="L55" s="82">
        <v>2.37</v>
      </c>
      <c r="M55" s="82">
        <v>14.31</v>
      </c>
      <c r="N55" s="82">
        <v>0</v>
      </c>
      <c r="O55" s="82">
        <v>0.5</v>
      </c>
      <c r="P55" s="82">
        <v>0</v>
      </c>
      <c r="Q55" s="82">
        <v>0</v>
      </c>
      <c r="R55" s="82">
        <v>3.46</v>
      </c>
      <c r="S55" s="82">
        <v>54.9</v>
      </c>
      <c r="T55" s="82">
        <v>4.3</v>
      </c>
      <c r="U55" s="82">
        <v>3.54</v>
      </c>
      <c r="V55" s="82">
        <v>0</v>
      </c>
      <c r="W55" s="82">
        <v>0.94</v>
      </c>
      <c r="X55" s="82">
        <v>0</v>
      </c>
      <c r="Y55" s="82">
        <v>109.05</v>
      </c>
    </row>
    <row r="56" spans="1:25" x14ac:dyDescent="0.3">
      <c r="A56">
        <v>6</v>
      </c>
      <c r="B56" t="s">
        <v>169</v>
      </c>
      <c r="C56">
        <v>1</v>
      </c>
      <c r="D56">
        <v>1</v>
      </c>
      <c r="E56">
        <v>1</v>
      </c>
      <c r="F56">
        <v>180.7</v>
      </c>
      <c r="G56" s="82">
        <v>75</v>
      </c>
      <c r="H56" s="82">
        <v>9.25</v>
      </c>
      <c r="I56" s="82">
        <v>0.87</v>
      </c>
      <c r="J56" s="82">
        <v>0.43</v>
      </c>
      <c r="K56" s="82">
        <v>0</v>
      </c>
      <c r="L56" s="82">
        <v>1.8</v>
      </c>
      <c r="M56" s="82">
        <v>6.55</v>
      </c>
      <c r="N56" s="82">
        <v>0</v>
      </c>
      <c r="O56" s="82">
        <v>0</v>
      </c>
      <c r="P56" s="82">
        <v>0</v>
      </c>
      <c r="Q56" s="82">
        <v>7.85</v>
      </c>
      <c r="R56" s="82">
        <v>2.5499999999999998</v>
      </c>
      <c r="S56" s="82">
        <v>38.1</v>
      </c>
      <c r="T56" s="82">
        <v>6.4</v>
      </c>
      <c r="U56" s="82">
        <v>1.2</v>
      </c>
      <c r="V56" s="82">
        <v>0</v>
      </c>
      <c r="W56" s="82">
        <v>0</v>
      </c>
      <c r="X56" s="82">
        <v>0</v>
      </c>
      <c r="Y56" s="82">
        <v>105.7</v>
      </c>
    </row>
    <row r="57" spans="1:25" x14ac:dyDescent="0.3">
      <c r="E57" s="14" t="s">
        <v>341</v>
      </c>
      <c r="F57" s="14">
        <v>167.54333333333332</v>
      </c>
      <c r="G57" s="14">
        <v>78.826666666666668</v>
      </c>
      <c r="H57" s="14">
        <v>15.916666666666666</v>
      </c>
      <c r="I57" s="14">
        <v>0.76666666666666672</v>
      </c>
      <c r="J57" s="14">
        <v>0.62</v>
      </c>
      <c r="K57" s="14">
        <v>0</v>
      </c>
      <c r="L57" s="14">
        <v>2.64</v>
      </c>
      <c r="M57" s="14">
        <v>10.106666666666667</v>
      </c>
      <c r="N57" s="14">
        <v>0</v>
      </c>
      <c r="O57" s="14">
        <v>0.46666666666666662</v>
      </c>
      <c r="P57" s="14">
        <v>3.3333333333333333E-2</v>
      </c>
      <c r="Q57" s="14">
        <v>5.2666666666666666</v>
      </c>
      <c r="R57" s="14">
        <v>3.2699999999999996</v>
      </c>
      <c r="S57" s="14">
        <v>31.099999999999998</v>
      </c>
      <c r="T57" s="14">
        <v>5.416666666666667</v>
      </c>
      <c r="U57" s="14">
        <v>2.48</v>
      </c>
      <c r="V57" s="14">
        <v>0</v>
      </c>
      <c r="W57" s="14">
        <v>0.7466666666666667</v>
      </c>
      <c r="X57" s="14">
        <v>0</v>
      </c>
      <c r="Y57" s="14">
        <v>88.716666666666654</v>
      </c>
    </row>
    <row r="58" spans="1:25" x14ac:dyDescent="0.3">
      <c r="B58" s="48">
        <v>44197</v>
      </c>
      <c r="F58" s="14">
        <f>G58+Y58</f>
        <v>6324.4450000000006</v>
      </c>
      <c r="G58" s="14">
        <f>SUM(H58:X58)</f>
        <v>2624.9051899592951</v>
      </c>
      <c r="H58" s="14">
        <v>684.50993894165538</v>
      </c>
      <c r="I58" s="14">
        <v>2.8400000000000003</v>
      </c>
      <c r="J58" s="14">
        <v>2.0999999999999996</v>
      </c>
      <c r="K58" s="14">
        <v>0</v>
      </c>
      <c r="L58" s="14">
        <v>255.02479647218451</v>
      </c>
      <c r="M58" s="14">
        <v>819.41305970149256</v>
      </c>
      <c r="N58" s="14">
        <v>0</v>
      </c>
      <c r="O58" s="14">
        <v>2.9000000000000004</v>
      </c>
      <c r="P58" s="14">
        <v>0</v>
      </c>
      <c r="Q58" s="14">
        <v>566.98826322930813</v>
      </c>
      <c r="R58" s="14">
        <v>164.6889009497965</v>
      </c>
      <c r="S58" s="14">
        <v>16.26289009497965</v>
      </c>
      <c r="T58" s="14">
        <v>9.31</v>
      </c>
      <c r="U58" s="14">
        <v>2.11</v>
      </c>
      <c r="V58" s="14">
        <v>0</v>
      </c>
      <c r="W58" s="14">
        <v>98.757340569877897</v>
      </c>
      <c r="X58" s="14">
        <v>0</v>
      </c>
      <c r="Y58" s="14">
        <v>3699.5398100407056</v>
      </c>
    </row>
    <row r="59" spans="1:25" x14ac:dyDescent="0.3">
      <c r="F59" s="42"/>
      <c r="G59" s="42"/>
      <c r="H59" s="42"/>
      <c r="I59" s="42"/>
      <c r="J59" s="42"/>
      <c r="K59" s="42"/>
      <c r="L59" s="42"/>
      <c r="M59" s="42"/>
      <c r="N59" s="42"/>
      <c r="O59" s="42"/>
      <c r="P59" s="42"/>
      <c r="Q59" s="42"/>
      <c r="R59" s="42"/>
      <c r="S59" s="42"/>
      <c r="T59" s="42"/>
      <c r="U59" s="42"/>
      <c r="V59" s="42"/>
      <c r="W59" s="42"/>
      <c r="X59" s="42"/>
      <c r="Y59" s="42"/>
    </row>
    <row r="60" spans="1:25" x14ac:dyDescent="0.3">
      <c r="F60" s="3"/>
      <c r="L60" s="3"/>
    </row>
    <row r="61" spans="1:25" x14ac:dyDescent="0.3">
      <c r="L61" s="3"/>
    </row>
    <row r="62" spans="1:25" x14ac:dyDescent="0.3">
      <c r="F62" s="14" t="s">
        <v>342</v>
      </c>
      <c r="G62" t="s">
        <v>343</v>
      </c>
      <c r="L62" s="3"/>
    </row>
    <row r="63" spans="1:25" x14ac:dyDescent="0.3">
      <c r="E63" t="s">
        <v>59</v>
      </c>
      <c r="F63" s="15">
        <v>167.54333333333332</v>
      </c>
      <c r="G63" s="6">
        <v>6324.4450000000006</v>
      </c>
      <c r="L63" s="3"/>
    </row>
    <row r="64" spans="1:25" x14ac:dyDescent="0.3">
      <c r="E64" t="s">
        <v>14</v>
      </c>
      <c r="F64" s="15">
        <v>88.716666666666654</v>
      </c>
      <c r="G64" s="6">
        <v>3699.5398100407056</v>
      </c>
      <c r="L64" s="3"/>
    </row>
    <row r="65" spans="5:12" x14ac:dyDescent="0.3">
      <c r="E65" t="s">
        <v>60</v>
      </c>
      <c r="F65" s="15">
        <v>78.826666666666668</v>
      </c>
      <c r="G65" s="6">
        <v>2624.9051899592951</v>
      </c>
      <c r="L65" s="3"/>
    </row>
    <row r="66" spans="5:12" x14ac:dyDescent="0.3">
      <c r="E66" t="s">
        <v>238</v>
      </c>
      <c r="F66" s="114">
        <v>10.106666666666667</v>
      </c>
      <c r="G66" s="6">
        <v>819.41305970149256</v>
      </c>
      <c r="L66" s="3"/>
    </row>
    <row r="67" spans="5:12" x14ac:dyDescent="0.3">
      <c r="E67" t="s">
        <v>228</v>
      </c>
      <c r="F67" s="114">
        <v>15.916666666666666</v>
      </c>
      <c r="G67" s="6">
        <v>684.50993894165538</v>
      </c>
      <c r="L67" s="3"/>
    </row>
    <row r="68" spans="5:12" x14ac:dyDescent="0.3">
      <c r="E68" t="s">
        <v>233</v>
      </c>
      <c r="F68" s="114">
        <v>5.2666666666666666</v>
      </c>
      <c r="G68" s="6">
        <v>566.98826322930813</v>
      </c>
      <c r="L68" s="3"/>
    </row>
    <row r="69" spans="5:12" x14ac:dyDescent="0.3">
      <c r="E69" t="s">
        <v>239</v>
      </c>
      <c r="F69" s="114">
        <v>2.64</v>
      </c>
      <c r="G69" s="6">
        <v>255.02479647218451</v>
      </c>
      <c r="L69" s="3"/>
    </row>
    <row r="70" spans="5:12" x14ac:dyDescent="0.3">
      <c r="E70" t="s">
        <v>234</v>
      </c>
      <c r="F70" s="114">
        <v>3.2699999999999996</v>
      </c>
      <c r="G70" s="6">
        <v>164.6889009497965</v>
      </c>
      <c r="L70" s="3"/>
    </row>
    <row r="71" spans="5:12" x14ac:dyDescent="0.3">
      <c r="E71" t="s">
        <v>12</v>
      </c>
      <c r="F71" s="114">
        <v>0.7466666666666667</v>
      </c>
      <c r="G71" s="6">
        <v>98.757340569877897</v>
      </c>
    </row>
    <row r="72" spans="5:12" x14ac:dyDescent="0.3">
      <c r="E72" t="s">
        <v>241</v>
      </c>
      <c r="F72" s="15">
        <v>31.099999999999998</v>
      </c>
      <c r="G72" s="6">
        <v>16.26289009497965</v>
      </c>
    </row>
    <row r="73" spans="5:12" x14ac:dyDescent="0.3">
      <c r="E73" t="s">
        <v>232</v>
      </c>
      <c r="F73" s="114">
        <v>5.416666666666667</v>
      </c>
      <c r="G73" s="82">
        <v>9.31</v>
      </c>
    </row>
    <row r="74" spans="5:12" x14ac:dyDescent="0.3">
      <c r="E74" t="s">
        <v>240</v>
      </c>
      <c r="F74" s="114">
        <v>0.46666666666666662</v>
      </c>
      <c r="G74" s="82">
        <v>2.9000000000000004</v>
      </c>
    </row>
    <row r="75" spans="5:12" x14ac:dyDescent="0.3">
      <c r="E75" t="s">
        <v>235</v>
      </c>
      <c r="F75" s="114">
        <v>0.76666666666666672</v>
      </c>
      <c r="G75" s="82">
        <v>2.8400000000000003</v>
      </c>
    </row>
    <row r="76" spans="5:12" x14ac:dyDescent="0.3">
      <c r="E76" t="s">
        <v>231</v>
      </c>
      <c r="F76" s="114">
        <v>2.48</v>
      </c>
      <c r="G76" s="82">
        <v>2.11</v>
      </c>
    </row>
    <row r="77" spans="5:12" x14ac:dyDescent="0.3">
      <c r="E77" t="s">
        <v>236</v>
      </c>
      <c r="F77" s="114">
        <v>0.62</v>
      </c>
      <c r="G77" s="82">
        <v>2.0999999999999996</v>
      </c>
    </row>
    <row r="78" spans="5:12" x14ac:dyDescent="0.3">
      <c r="E78" t="s">
        <v>78</v>
      </c>
      <c r="F78" s="114">
        <v>0</v>
      </c>
      <c r="G78" s="82">
        <v>0</v>
      </c>
    </row>
    <row r="79" spans="5:12" x14ac:dyDescent="0.3">
      <c r="E79" t="s">
        <v>81</v>
      </c>
      <c r="F79" s="114">
        <v>0</v>
      </c>
      <c r="G79" s="82">
        <v>0</v>
      </c>
    </row>
    <row r="80" spans="5:12" x14ac:dyDescent="0.3">
      <c r="E80" t="s">
        <v>80</v>
      </c>
      <c r="F80" s="114">
        <v>3.3333333333333333E-2</v>
      </c>
      <c r="G80" s="82">
        <v>0</v>
      </c>
    </row>
    <row r="81" spans="5:7" x14ac:dyDescent="0.3">
      <c r="E81" t="s">
        <v>89</v>
      </c>
      <c r="F81" s="114">
        <v>0</v>
      </c>
      <c r="G81" s="82">
        <v>0</v>
      </c>
    </row>
    <row r="82" spans="5:7" x14ac:dyDescent="0.3">
      <c r="E82" t="s">
        <v>224</v>
      </c>
      <c r="F82" s="114">
        <v>0</v>
      </c>
      <c r="G82" s="82">
        <v>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6"/>
  <sheetViews>
    <sheetView workbookViewId="0">
      <selection activeCell="J10" sqref="J10"/>
    </sheetView>
  </sheetViews>
  <sheetFormatPr defaultColWidth="11.5546875" defaultRowHeight="14.4" x14ac:dyDescent="0.3"/>
  <cols>
    <col min="1" max="1" width="28" style="117" customWidth="1"/>
    <col min="2" max="2" width="31" style="117" customWidth="1"/>
    <col min="3" max="3" width="26.33203125" style="117" bestFit="1" customWidth="1"/>
    <col min="4" max="4" width="5.77734375" bestFit="1" customWidth="1"/>
    <col min="5" max="5" width="40.109375" customWidth="1"/>
    <col min="6" max="6" width="52.109375" style="117" customWidth="1"/>
    <col min="7" max="7" width="22.109375" customWidth="1"/>
    <col min="8" max="12" width="27.33203125" style="117" customWidth="1"/>
  </cols>
  <sheetData>
    <row r="3" spans="1:10" ht="15.6" x14ac:dyDescent="0.3">
      <c r="A3" s="115" t="s">
        <v>344</v>
      </c>
      <c r="B3" s="115" t="s">
        <v>345</v>
      </c>
      <c r="C3" s="115" t="s">
        <v>346</v>
      </c>
      <c r="D3" s="116" t="s">
        <v>347</v>
      </c>
      <c r="E3" s="116" t="s">
        <v>348</v>
      </c>
    </row>
    <row r="4" spans="1:10" ht="72" x14ac:dyDescent="0.3">
      <c r="A4" s="118" t="s">
        <v>349</v>
      </c>
      <c r="B4" s="118" t="s">
        <v>350</v>
      </c>
      <c r="C4" s="118" t="s">
        <v>351</v>
      </c>
      <c r="D4" s="119">
        <f>((80*2*4)+(366*5))*1.2</f>
        <v>2964</v>
      </c>
      <c r="E4" s="119" t="s">
        <v>352</v>
      </c>
      <c r="F4" s="117" t="s">
        <v>353</v>
      </c>
      <c r="G4">
        <f>366*5</f>
        <v>1830</v>
      </c>
    </row>
    <row r="5" spans="1:10" ht="28.8" x14ac:dyDescent="0.3">
      <c r="A5" s="118" t="s">
        <v>354</v>
      </c>
      <c r="B5" s="118" t="s">
        <v>355</v>
      </c>
      <c r="C5" s="118" t="s">
        <v>356</v>
      </c>
      <c r="D5" s="119">
        <v>0.61</v>
      </c>
      <c r="E5" s="119" t="s">
        <v>357</v>
      </c>
    </row>
    <row r="6" spans="1:10" x14ac:dyDescent="0.3">
      <c r="A6" s="118" t="s">
        <v>358</v>
      </c>
      <c r="B6" s="118"/>
      <c r="C6" s="118" t="s">
        <v>123</v>
      </c>
      <c r="D6" s="120">
        <f>29.5/155*100</f>
        <v>19.032258064516128</v>
      </c>
      <c r="E6" s="119" t="s">
        <v>357</v>
      </c>
      <c r="F6" s="117" t="s">
        <v>359</v>
      </c>
    </row>
    <row r="7" spans="1:10" ht="15.6" x14ac:dyDescent="0.3">
      <c r="A7" s="115" t="s">
        <v>360</v>
      </c>
      <c r="B7" s="115"/>
      <c r="C7" s="121"/>
      <c r="D7" s="122"/>
      <c r="E7" s="122"/>
    </row>
    <row r="8" spans="1:10" x14ac:dyDescent="0.3">
      <c r="A8" s="118" t="s">
        <v>361</v>
      </c>
      <c r="B8" s="118" t="s">
        <v>362</v>
      </c>
      <c r="C8" s="118" t="s">
        <v>363</v>
      </c>
      <c r="D8" s="120">
        <f>(((17+0.9)/(2.6+29.5)*100))</f>
        <v>55.763239875389402</v>
      </c>
      <c r="E8" s="119" t="s">
        <v>357</v>
      </c>
    </row>
    <row r="9" spans="1:10" ht="28.8" x14ac:dyDescent="0.3">
      <c r="A9" s="118" t="s">
        <v>364</v>
      </c>
      <c r="B9" s="118" t="s">
        <v>365</v>
      </c>
      <c r="C9" s="118" t="s">
        <v>366</v>
      </c>
      <c r="D9" s="119">
        <v>89.2</v>
      </c>
      <c r="E9" s="119" t="s">
        <v>357</v>
      </c>
    </row>
    <row r="10" spans="1:10" ht="28.8" x14ac:dyDescent="0.3">
      <c r="A10" s="118" t="s">
        <v>367</v>
      </c>
      <c r="B10" s="118"/>
      <c r="C10" s="118" t="s">
        <v>368</v>
      </c>
      <c r="D10" s="120">
        <v>0</v>
      </c>
      <c r="E10" s="119" t="s">
        <v>357</v>
      </c>
    </row>
    <row r="11" spans="1:10" ht="31.2" x14ac:dyDescent="0.3">
      <c r="A11" s="115" t="s">
        <v>369</v>
      </c>
      <c r="B11" s="115"/>
      <c r="C11" s="121"/>
      <c r="D11" s="122"/>
      <c r="E11" s="122"/>
    </row>
    <row r="12" spans="1:10" ht="28.8" x14ac:dyDescent="0.3">
      <c r="A12" s="118" t="s">
        <v>370</v>
      </c>
      <c r="B12" s="118" t="s">
        <v>371</v>
      </c>
      <c r="C12" s="118" t="s">
        <v>368</v>
      </c>
      <c r="D12" s="120">
        <f>((1.7+1.1)/29.5)*100</f>
        <v>9.4915254237288131</v>
      </c>
      <c r="E12" s="119" t="s">
        <v>357</v>
      </c>
    </row>
    <row r="13" spans="1:10" ht="28.8" x14ac:dyDescent="0.3">
      <c r="A13" s="118" t="s">
        <v>372</v>
      </c>
      <c r="B13" s="118" t="s">
        <v>373</v>
      </c>
      <c r="C13" s="118" t="s">
        <v>374</v>
      </c>
      <c r="D13" s="119">
        <f>J16/J14*100</f>
        <v>58.852499999999999</v>
      </c>
      <c r="E13" s="119"/>
      <c r="G13" s="123" t="s">
        <v>375</v>
      </c>
      <c r="H13" s="124" t="s">
        <v>376</v>
      </c>
      <c r="I13" s="125" t="s">
        <v>377</v>
      </c>
      <c r="J13" s="125" t="s">
        <v>378</v>
      </c>
    </row>
    <row r="14" spans="1:10" ht="28.8" x14ac:dyDescent="0.3">
      <c r="A14" s="118" t="s">
        <v>379</v>
      </c>
      <c r="B14" s="118"/>
      <c r="C14" s="118" t="s">
        <v>380</v>
      </c>
      <c r="D14" s="120">
        <v>0</v>
      </c>
      <c r="E14" s="119" t="s">
        <v>381</v>
      </c>
      <c r="G14" s="123">
        <f>(((D4*D5*D6/100)+2600)*D8/100)+2600</f>
        <v>4241.7315891870157</v>
      </c>
      <c r="H14" s="126">
        <f>((G14*D8/100)*D9/100)</f>
        <v>2109.8716491660825</v>
      </c>
      <c r="I14" s="125">
        <v>0</v>
      </c>
      <c r="J14" s="127">
        <f>H14-I14</f>
        <v>2109.8716491660825</v>
      </c>
    </row>
    <row r="15" spans="1:10" ht="28.8" x14ac:dyDescent="0.3">
      <c r="A15" s="118" t="s">
        <v>382</v>
      </c>
      <c r="B15" s="118"/>
      <c r="C15" s="118" t="s">
        <v>380</v>
      </c>
      <c r="D15" s="119">
        <v>0</v>
      </c>
      <c r="E15" s="119" t="s">
        <v>383</v>
      </c>
      <c r="G15" s="128" t="s">
        <v>384</v>
      </c>
      <c r="H15" s="124" t="s">
        <v>385</v>
      </c>
      <c r="I15" s="125" t="s">
        <v>386</v>
      </c>
      <c r="J15" s="125" t="s">
        <v>387</v>
      </c>
    </row>
    <row r="16" spans="1:10" ht="28.8" x14ac:dyDescent="0.3">
      <c r="A16" s="118" t="s">
        <v>388</v>
      </c>
      <c r="B16" s="118"/>
      <c r="C16" s="118" t="s">
        <v>389</v>
      </c>
      <c r="D16" s="120">
        <v>0</v>
      </c>
      <c r="E16" s="119" t="s">
        <v>390</v>
      </c>
      <c r="G16" s="129">
        <f>G14*D12/100</f>
        <v>402.60503219402182</v>
      </c>
      <c r="H16" s="124">
        <v>0</v>
      </c>
      <c r="I16" s="125">
        <v>0</v>
      </c>
      <c r="J16" s="127">
        <f>J14-J30-J33</f>
        <v>1241.7122123254687</v>
      </c>
    </row>
    <row r="17" spans="1:11" ht="15.6" x14ac:dyDescent="0.3">
      <c r="A17" s="115" t="s">
        <v>391</v>
      </c>
      <c r="B17" s="115"/>
      <c r="C17" s="115" t="s">
        <v>346</v>
      </c>
      <c r="D17" s="116" t="s">
        <v>347</v>
      </c>
      <c r="E17" s="116" t="s">
        <v>392</v>
      </c>
      <c r="G17" s="117"/>
    </row>
    <row r="18" spans="1:11" ht="31.2" x14ac:dyDescent="0.3">
      <c r="A18" s="130" t="s">
        <v>393</v>
      </c>
      <c r="B18" s="118"/>
      <c r="C18" s="131" t="s">
        <v>394</v>
      </c>
      <c r="D18" s="131">
        <v>4</v>
      </c>
      <c r="E18" s="131" t="s">
        <v>395</v>
      </c>
      <c r="G18" s="117"/>
    </row>
    <row r="19" spans="1:11" ht="46.8" x14ac:dyDescent="0.3">
      <c r="A19" s="130" t="s">
        <v>396</v>
      </c>
      <c r="B19" s="118"/>
      <c r="C19" s="131" t="s">
        <v>394</v>
      </c>
      <c r="D19" s="131">
        <v>0</v>
      </c>
      <c r="E19" s="131" t="s">
        <v>395</v>
      </c>
      <c r="F19" s="117" t="s">
        <v>397</v>
      </c>
      <c r="G19" s="165" t="s">
        <v>398</v>
      </c>
      <c r="H19" s="165"/>
      <c r="I19" s="166" t="s">
        <v>399</v>
      </c>
      <c r="J19" s="166"/>
      <c r="K19" s="132" t="s">
        <v>400</v>
      </c>
    </row>
    <row r="20" spans="1:11" ht="46.8" x14ac:dyDescent="0.3">
      <c r="A20" s="133" t="s">
        <v>401</v>
      </c>
      <c r="B20" s="118"/>
      <c r="C20" s="133" t="s">
        <v>402</v>
      </c>
      <c r="D20" s="134">
        <v>0</v>
      </c>
      <c r="E20" s="134" t="s">
        <v>403</v>
      </c>
      <c r="G20" s="167">
        <f>G14-H14-G16-H16-I30</f>
        <v>1728.8307346679928</v>
      </c>
      <c r="H20" s="167"/>
      <c r="I20" s="168">
        <f>I23+J23+I26+J26+I30+J30+J33+H30</f>
        <v>2712.4886007949249</v>
      </c>
      <c r="J20" s="168"/>
      <c r="K20" s="135">
        <f>I20+K23-K26-K30-K33-K36</f>
        <v>1679.1175905167011</v>
      </c>
    </row>
    <row r="21" spans="1:11" ht="31.2" x14ac:dyDescent="0.3">
      <c r="A21" s="133" t="s">
        <v>404</v>
      </c>
      <c r="B21" s="118"/>
      <c r="C21" s="133" t="s">
        <v>402</v>
      </c>
      <c r="D21" s="136">
        <v>0</v>
      </c>
      <c r="E21" s="119" t="s">
        <v>405</v>
      </c>
      <c r="G21" s="117"/>
    </row>
    <row r="22" spans="1:11" ht="43.2" x14ac:dyDescent="0.3">
      <c r="A22" s="118" t="s">
        <v>406</v>
      </c>
      <c r="B22" s="118"/>
      <c r="C22" s="118" t="s">
        <v>407</v>
      </c>
      <c r="D22" s="119">
        <v>70</v>
      </c>
      <c r="E22" s="119" t="s">
        <v>408</v>
      </c>
      <c r="G22" s="137" t="s">
        <v>409</v>
      </c>
      <c r="H22" s="138" t="s">
        <v>410</v>
      </c>
      <c r="I22" s="139" t="s">
        <v>411</v>
      </c>
      <c r="J22" s="140" t="s">
        <v>412</v>
      </c>
      <c r="K22" s="141" t="s">
        <v>413</v>
      </c>
    </row>
    <row r="23" spans="1:11" ht="31.2" x14ac:dyDescent="0.3">
      <c r="A23" s="130" t="s">
        <v>414</v>
      </c>
      <c r="B23" s="118"/>
      <c r="C23" s="130" t="s">
        <v>394</v>
      </c>
      <c r="D23" s="142">
        <v>43</v>
      </c>
      <c r="E23" s="119" t="s">
        <v>415</v>
      </c>
      <c r="F23" s="143" t="s">
        <v>416</v>
      </c>
      <c r="G23" s="144">
        <f>G20*D18/100</f>
        <v>69.153229386719715</v>
      </c>
      <c r="H23" s="145">
        <f>G20*D21/100</f>
        <v>0</v>
      </c>
      <c r="I23" s="146">
        <f>H23*D22/100</f>
        <v>0</v>
      </c>
      <c r="J23" s="123">
        <f>(G14*D8/100)*D27/100</f>
        <v>255.45531178244048</v>
      </c>
      <c r="K23" s="141">
        <f>D34</f>
        <v>0</v>
      </c>
    </row>
    <row r="24" spans="1:11" ht="43.2" x14ac:dyDescent="0.3">
      <c r="A24" s="118" t="s">
        <v>417</v>
      </c>
      <c r="B24" s="118"/>
      <c r="C24" s="118" t="s">
        <v>418</v>
      </c>
      <c r="D24" s="119">
        <v>0.01</v>
      </c>
      <c r="E24" s="118" t="s">
        <v>419</v>
      </c>
      <c r="G24" s="147"/>
      <c r="H24" s="147"/>
    </row>
    <row r="25" spans="1:11" ht="46.8" x14ac:dyDescent="0.3">
      <c r="A25" s="130" t="s">
        <v>420</v>
      </c>
      <c r="B25" s="118"/>
      <c r="C25" s="130" t="s">
        <v>394</v>
      </c>
      <c r="D25" s="131">
        <v>52</v>
      </c>
      <c r="E25" s="131" t="s">
        <v>395</v>
      </c>
      <c r="G25" s="144" t="s">
        <v>421</v>
      </c>
      <c r="H25" s="145" t="s">
        <v>422</v>
      </c>
      <c r="I25" s="139" t="s">
        <v>423</v>
      </c>
      <c r="J25" s="140" t="s">
        <v>424</v>
      </c>
      <c r="K25" s="141" t="s">
        <v>425</v>
      </c>
    </row>
    <row r="26" spans="1:11" ht="28.8" x14ac:dyDescent="0.3">
      <c r="A26" s="118" t="s">
        <v>426</v>
      </c>
      <c r="B26" s="118"/>
      <c r="C26" s="118" t="s">
        <v>427</v>
      </c>
      <c r="D26" s="119">
        <v>94</v>
      </c>
      <c r="E26" s="118" t="s">
        <v>415</v>
      </c>
      <c r="G26" s="144">
        <f>G20*D19/100</f>
        <v>0</v>
      </c>
      <c r="H26" s="145">
        <f>G20*D25/100</f>
        <v>898.99198202735624</v>
      </c>
      <c r="I26" s="146">
        <f>H26*D26/100</f>
        <v>845.05246310571488</v>
      </c>
      <c r="J26" s="140">
        <f>I16*D28/100</f>
        <v>0</v>
      </c>
      <c r="K26" s="148">
        <f>I20*D31/100</f>
        <v>542.49772015898498</v>
      </c>
    </row>
    <row r="27" spans="1:11" ht="28.8" x14ac:dyDescent="0.3">
      <c r="A27" s="118" t="s">
        <v>412</v>
      </c>
      <c r="B27" s="118"/>
      <c r="C27" s="118" t="s">
        <v>428</v>
      </c>
      <c r="D27" s="119">
        <f>5+1+0.8+4</f>
        <v>10.8</v>
      </c>
      <c r="E27" s="131" t="s">
        <v>395</v>
      </c>
      <c r="G27" s="147"/>
      <c r="H27" s="147"/>
    </row>
    <row r="28" spans="1:11" ht="43.2" x14ac:dyDescent="0.3">
      <c r="A28" s="118" t="s">
        <v>424</v>
      </c>
      <c r="B28" s="118"/>
      <c r="C28" s="118" t="s">
        <v>429</v>
      </c>
      <c r="D28" s="119">
        <v>1.5</v>
      </c>
      <c r="E28" s="119" t="s">
        <v>430</v>
      </c>
      <c r="G28" s="147"/>
      <c r="H28" s="147"/>
    </row>
    <row r="29" spans="1:11" ht="43.2" x14ac:dyDescent="0.3">
      <c r="A29" s="118" t="s">
        <v>431</v>
      </c>
      <c r="B29" s="118"/>
      <c r="C29" s="118" t="s">
        <v>432</v>
      </c>
      <c r="D29" s="119">
        <f>0.5*1*0.5</f>
        <v>0.25</v>
      </c>
      <c r="E29" s="131" t="s">
        <v>395</v>
      </c>
      <c r="G29" s="144" t="s">
        <v>401</v>
      </c>
      <c r="H29" s="145" t="s">
        <v>433</v>
      </c>
      <c r="I29" s="139" t="s">
        <v>434</v>
      </c>
      <c r="J29" s="140" t="s">
        <v>431</v>
      </c>
      <c r="K29" s="141" t="s">
        <v>435</v>
      </c>
    </row>
    <row r="30" spans="1:11" ht="28.8" x14ac:dyDescent="0.3">
      <c r="A30" s="118" t="s">
        <v>436</v>
      </c>
      <c r="B30" s="118"/>
      <c r="C30" s="118" t="s">
        <v>437</v>
      </c>
      <c r="D30" s="119">
        <f>(40+(1*1*1*1*1))</f>
        <v>41</v>
      </c>
      <c r="E30" s="131" t="s">
        <v>395</v>
      </c>
      <c r="G30" s="144">
        <f>G20*D20/100</f>
        <v>0</v>
      </c>
      <c r="H30" s="146">
        <f>G20*D23/100</f>
        <v>743.39721590723695</v>
      </c>
      <c r="I30" s="149">
        <f>G14*D24/100</f>
        <v>0.42417315891870161</v>
      </c>
      <c r="J30" s="123">
        <f>J14*D29/100</f>
        <v>5.2746791229152059</v>
      </c>
      <c r="K30" s="148">
        <f>I20*D32/100</f>
        <v>406.87329011923873</v>
      </c>
    </row>
    <row r="31" spans="1:11" ht="28.8" x14ac:dyDescent="0.3">
      <c r="A31" s="118" t="s">
        <v>425</v>
      </c>
      <c r="B31" s="118"/>
      <c r="C31" s="118" t="s">
        <v>438</v>
      </c>
      <c r="D31" s="119">
        <v>20</v>
      </c>
      <c r="E31" s="119" t="s">
        <v>408</v>
      </c>
      <c r="G31" s="117"/>
    </row>
    <row r="32" spans="1:11" ht="28.8" x14ac:dyDescent="0.3">
      <c r="A32" s="118" t="s">
        <v>435</v>
      </c>
      <c r="B32" s="118"/>
      <c r="C32" s="118" t="s">
        <v>438</v>
      </c>
      <c r="D32" s="119">
        <v>15</v>
      </c>
      <c r="E32" s="118" t="s">
        <v>419</v>
      </c>
      <c r="G32" s="117"/>
      <c r="J32" s="140" t="s">
        <v>436</v>
      </c>
      <c r="K32" s="141" t="s">
        <v>439</v>
      </c>
    </row>
    <row r="33" spans="1:11" ht="28.8" x14ac:dyDescent="0.3">
      <c r="A33" s="118" t="s">
        <v>439</v>
      </c>
      <c r="B33" s="118"/>
      <c r="C33" s="118" t="s">
        <v>438</v>
      </c>
      <c r="D33" s="119">
        <v>0</v>
      </c>
      <c r="E33" s="118" t="s">
        <v>419</v>
      </c>
      <c r="G33" s="117"/>
      <c r="J33" s="123">
        <f>(J14-J30)*D30/100</f>
        <v>862.88475771769868</v>
      </c>
      <c r="K33" s="141">
        <f>I20*D33/100</f>
        <v>0</v>
      </c>
    </row>
    <row r="34" spans="1:11" x14ac:dyDescent="0.3">
      <c r="A34" s="118" t="s">
        <v>413</v>
      </c>
      <c r="B34" s="118"/>
      <c r="C34" s="118" t="s">
        <v>440</v>
      </c>
      <c r="D34" s="119">
        <v>0</v>
      </c>
      <c r="E34" s="119" t="s">
        <v>441</v>
      </c>
    </row>
    <row r="35" spans="1:11" ht="28.8" x14ac:dyDescent="0.3">
      <c r="A35" s="117" t="s">
        <v>442</v>
      </c>
      <c r="C35" s="117" t="s">
        <v>440</v>
      </c>
      <c r="D35" s="150">
        <v>84</v>
      </c>
      <c r="E35" t="s">
        <v>443</v>
      </c>
      <c r="K35" s="141" t="s">
        <v>444</v>
      </c>
    </row>
    <row r="36" spans="1:11" x14ac:dyDescent="0.3">
      <c r="K36" s="141">
        <v>84</v>
      </c>
    </row>
  </sheetData>
  <mergeCells count="4">
    <mergeCell ref="G19:H19"/>
    <mergeCell ref="I19:J19"/>
    <mergeCell ref="G20:H20"/>
    <mergeCell ref="I20:J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0.RAW DATA</vt:lpstr>
      <vt:lpstr>1.Daily waste generation</vt:lpstr>
      <vt:lpstr>2. Thanh phan hon hop CTR</vt:lpstr>
      <vt:lpstr>3. Khối lượng riêng</vt:lpstr>
      <vt:lpstr>4.1 MFA_source</vt:lpstr>
      <vt:lpstr>4.2 MFA_type</vt:lpstr>
      <vt:lpstr>4 MFA</vt:lpstr>
      <vt:lpstr>5.W type distribution @ sources</vt:lpstr>
      <vt:lpstr>6. Plastic distribution</vt:lpstr>
      <vt:lpstr>7. Thanh phan CTR tai diem nong</vt:lpstr>
      <vt:lpstr>8. CTR tai Dinh Cau</vt:lpstr>
      <vt:lpstr>9 WFD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Loan Nguyen</dc:creator>
  <cp:lastModifiedBy>tuan.taanh@wwf.org.vn</cp:lastModifiedBy>
  <dcterms:created xsi:type="dcterms:W3CDTF">2020-12-23T07:36:41Z</dcterms:created>
  <dcterms:modified xsi:type="dcterms:W3CDTF">2022-02-23T07:42:36Z</dcterms:modified>
</cp:coreProperties>
</file>